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externalLinks/externalLink7.xml" ContentType="application/vnd.openxmlformats-officedocument.spreadsheetml.externalLink+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charts/chart3.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5535" windowWidth="19215" windowHeight="6975" tabRatio="735"/>
  </bookViews>
  <sheets>
    <sheet name="Title Page" sheetId="28" r:id="rId1"/>
    <sheet name="AnnRptCont" sheetId="65" r:id="rId2"/>
    <sheet name="Rev.Exp." sheetId="2" r:id="rId3"/>
    <sheet name="By Account" sheetId="66" r:id="rId4"/>
    <sheet name="Table 1.1" sheetId="40" r:id="rId5"/>
    <sheet name="Table 1.2" sheetId="67" r:id="rId6"/>
    <sheet name="Table 1.3" sheetId="68" r:id="rId7"/>
    <sheet name="Table 1.4" sheetId="69" r:id="rId8"/>
    <sheet name="Table 1.5" sheetId="54" r:id="rId9"/>
    <sheet name="Table1.6" sheetId="55" r:id="rId10"/>
    <sheet name="Table 1.7" sheetId="56" r:id="rId11"/>
    <sheet name="Table 1.8-1.9" sheetId="57" r:id="rId12"/>
    <sheet name="Table 1.10" sheetId="58" r:id="rId13"/>
    <sheet name="Table 2.1" sheetId="34" r:id="rId14"/>
    <sheet name="Table 2.2" sheetId="13" r:id="rId15"/>
    <sheet name="Table 3.1" sheetId="33" r:id="rId16"/>
    <sheet name="Table 4.1" sheetId="14" r:id="rId17"/>
    <sheet name="Table 4.2" sheetId="59" r:id="rId18"/>
    <sheet name="Table 4.3" sheetId="52" r:id="rId19"/>
    <sheet name="Table 4.4" sheetId="70" r:id="rId20"/>
    <sheet name="Table 5.1" sheetId="18" r:id="rId21"/>
    <sheet name="Table 5.2" sheetId="19" r:id="rId22"/>
    <sheet name="Tables 5.3-5.4" sheetId="35" r:id="rId23"/>
    <sheet name="Table 5.5" sheetId="51" r:id="rId24"/>
    <sheet name="Table 5.6" sheetId="50" r:id="rId25"/>
    <sheet name="Table 6.1" sheetId="63" r:id="rId26"/>
    <sheet name="Table 6.2" sheetId="60" r:id="rId27"/>
    <sheet name="Table 6.3" sheetId="61" r:id="rId28"/>
    <sheet name="Table 6.4" sheetId="62" r:id="rId29"/>
    <sheet name="Table 7.1" sheetId="71" r:id="rId30"/>
    <sheet name="Directory" sheetId="27" r:id="rId31"/>
  </sheets>
  <externalReferences>
    <externalReference r:id="rId32"/>
    <externalReference r:id="rId33"/>
    <externalReference r:id="rId34"/>
    <externalReference r:id="rId35"/>
    <externalReference r:id="rId36"/>
    <externalReference r:id="rId37"/>
    <externalReference r:id="rId38"/>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'[4]Table 3.4'!$B$14:$C$14</definedName>
    <definedName name="_13__123Graph_ACHART_2" localSheetId="16" hidden="1">'[4]Table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0" hidden="1">'[3]Table 3.4'!$B$22:$C$22</definedName>
    <definedName name="_18__123Graph_BCHART_2" localSheetId="11" hidden="1">'[3]Table 3.4'!$B$22:$C$22</definedName>
    <definedName name="_19__123Graph_BCHART_2" localSheetId="13" hidden="1">'[4]Table 3.4'!$B$22:$C$22</definedName>
    <definedName name="_2___123Graph_BCHART_2" hidden="1">'[1]Table 3.4'!$B$22:$C$22</definedName>
    <definedName name="_20__123Graph_BCHART_2" localSheetId="16" hidden="1">'[4]Table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[6]Table2.1..2.2!$A$13:$A$17</definedName>
    <definedName name="_27__123Graph_XCHART_1" localSheetId="9" hidden="1">[2]Table2.1..2.2!$A$13:$A$17</definedName>
    <definedName name="_28__123Graph_XCHART_1" hidden="1">[5]Table2.1..2.2!$A$13:$A$17</definedName>
    <definedName name="_3___123Graph_XCHART_1" hidden="1">[5]Table2.1..2.2!$A$13:$A$17</definedName>
    <definedName name="_4__123Graph_ACHART_1" localSheetId="13" hidden="1">[6]Table2.1..2.2!$B$13:$B$17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2" hidden="1">[2]Table2.1..2.2!$B$13:$B$17</definedName>
    <definedName name="_8__123Graph_ACHART_1" hidden="1">[6]Table2.1..2.2!$B$13:$B$17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[6]Table2.1..2.2!$A$13:$A$17</definedName>
    <definedName name="chart???" localSheetId="16" hidden="1">[6]Table2.1..2.2!$A$13:$A$17</definedName>
    <definedName name="chart???" localSheetId="9" hidden="1">[2]Table2.1..2.2!$A$13:$A$17</definedName>
    <definedName name="chart???" hidden="1">[5]Table2.1..2.2!$A$13:$A$17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[6]Table2.1..2.2!$A$13:$A$17</definedName>
    <definedName name="collection_chart" localSheetId="16" hidden="1">[6]Table2.1..2.2!$A$13:$A$17</definedName>
    <definedName name="collection_chart" localSheetId="9" hidden="1">[2]Table2.1..2.2!$A$13:$A$17</definedName>
    <definedName name="collection_chart" hidden="1">[5]Table2.1..2.2!$A$13:$A$17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[6]Table2.1..2.2!$A$13:$A$17</definedName>
    <definedName name="collections_chart" localSheetId="16" hidden="1">[6]Table2.1..2.2!$A$13:$A$17</definedName>
    <definedName name="collections_chart" localSheetId="9" hidden="1">[2]Table2.1..2.2!$A$13:$A$17</definedName>
    <definedName name="collections_chart" hidden="1">[5]Table2.1..2.2!$A$13:$A$17</definedName>
    <definedName name="fivesix" localSheetId="24" hidden="1">[2]Table2.1..2.2!$B$13:$B$17</definedName>
    <definedName name="OLE_LINK1" localSheetId="15">'Table 3.1'!$A$5</definedName>
    <definedName name="_xlnm.Print_Area" localSheetId="1">AnnRptCont!$A$1:$E$50</definedName>
    <definedName name="_xlnm.Print_Area" localSheetId="3">'By Account'!$A$1:$J$47</definedName>
    <definedName name="_xlnm.Print_Area" localSheetId="30">Directory!$A$1:$J$18</definedName>
    <definedName name="_xlnm.Print_Area" localSheetId="2">Rev.Exp.!$A$1:$L$49</definedName>
    <definedName name="_xlnm.Print_Area" localSheetId="4">'Table 1.1'!$A$1:$F$46</definedName>
    <definedName name="_xlnm.Print_Area" localSheetId="12">'Table 1.10'!$A$1:$I$46</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1.8-1.9'!$A$1:$M$42</definedName>
    <definedName name="_xlnm.Print_Area" localSheetId="13">'Table 2.1'!$A$1:$D$37</definedName>
    <definedName name="_xlnm.Print_Area" localSheetId="14">'Table 2.2'!$A$1:$N$32</definedName>
    <definedName name="_xlnm.Print_Area" localSheetId="15">'Table 3.1'!$A$1:$F$57</definedName>
    <definedName name="_xlnm.Print_Area" localSheetId="16">'Table 4.1'!$A$1:$G$46</definedName>
    <definedName name="_xlnm.Print_Area" localSheetId="17">'Table 4.2'!$A$1:$F$39</definedName>
    <definedName name="_xlnm.Print_Area" localSheetId="18">'Table 4.3'!$A$1:$J$98</definedName>
    <definedName name="_xlnm.Print_Area" localSheetId="19">'Table 4.4'!$A$1:$G$50</definedName>
    <definedName name="_xlnm.Print_Area" localSheetId="23">'Table 5.5'!$A$1:$F$197</definedName>
    <definedName name="_xlnm.Print_Area" localSheetId="24">'Table 5.6'!$A$1:$L$110</definedName>
    <definedName name="_xlnm.Print_Area" localSheetId="25">'Table 6.1'!$A$1:$H$30</definedName>
    <definedName name="_xlnm.Print_Area" localSheetId="26">'Table 6.2'!$A$1:$H$204</definedName>
    <definedName name="_xlnm.Print_Area" localSheetId="27">'Table 6.3'!$A$1:$H$209</definedName>
    <definedName name="_xlnm.Print_Area" localSheetId="28">'Table 6.4'!$A$1:$P$213</definedName>
    <definedName name="_xlnm.Print_Area" localSheetId="29">'Table 7.1'!$A$1:$D$29</definedName>
    <definedName name="_xlnm.Print_Area" localSheetId="9">Table1.6!$A$1:$L$211</definedName>
    <definedName name="_xlnm.Print_Area" localSheetId="22">'Tables 5.3-5.4'!$A$1:$F$44</definedName>
    <definedName name="_xlnm.Print_Area" localSheetId="0">'Title Page'!$A$1:$H$20</definedName>
    <definedName name="_xlnm.Print_Area">#REF!</definedName>
    <definedName name="_xlnm.Print_Titles" localSheetId="15">'Table 3.1'!$5:$5</definedName>
    <definedName name="_xlnm.Print_Titles">#N/A</definedName>
  </definedNames>
  <calcPr calcId="125725"/>
</workbook>
</file>

<file path=xl/calcChain.xml><?xml version="1.0" encoding="utf-8"?>
<calcChain xmlns="http://schemas.openxmlformats.org/spreadsheetml/2006/main">
  <c r="F208" i="55"/>
  <c r="M209" i="54"/>
  <c r="M96"/>
  <c r="M97"/>
  <c r="B199" i="62" l="1"/>
  <c r="I37" i="58"/>
  <c r="H37"/>
  <c r="F37"/>
  <c r="E37"/>
  <c r="C37"/>
  <c r="B37"/>
  <c r="B194" i="60"/>
  <c r="N22" i="13"/>
  <c r="J22"/>
  <c r="L22"/>
  <c r="C38" i="2" l="1"/>
  <c r="C35"/>
  <c r="C36"/>
  <c r="B35"/>
  <c r="C34"/>
  <c r="C33"/>
  <c r="C8"/>
  <c r="C6"/>
  <c r="B6"/>
  <c r="J45" l="1"/>
  <c r="I46"/>
  <c r="I45"/>
  <c r="X4" i="66"/>
  <c r="X3"/>
  <c r="Y4"/>
  <c r="Y3"/>
  <c r="C9"/>
  <c r="C28"/>
  <c r="C20"/>
  <c r="H16" i="19" l="1"/>
  <c r="C15" i="66"/>
  <c r="G17" i="18"/>
  <c r="C34" i="66"/>
  <c r="F41" i="19"/>
  <c r="C33" i="66"/>
  <c r="G41" i="19"/>
  <c r="C36" i="66"/>
  <c r="I41" i="19"/>
  <c r="C32" i="66"/>
  <c r="H41" i="19"/>
  <c r="B16"/>
  <c r="C21" i="66"/>
  <c r="F16" i="19"/>
  <c r="C22" i="66"/>
  <c r="G16" i="19"/>
  <c r="C23" i="66"/>
  <c r="C16" i="19"/>
  <c r="C26" i="66"/>
  <c r="E16" i="19"/>
  <c r="C25" i="66"/>
  <c r="D16" i="19"/>
  <c r="C24" i="66"/>
  <c r="E41" i="19"/>
  <c r="C29" i="66"/>
  <c r="C31"/>
  <c r="D41" i="19"/>
  <c r="C35" i="66"/>
  <c r="C41" i="19"/>
  <c r="C30" i="66"/>
  <c r="B41" i="19"/>
  <c r="C14" i="66"/>
  <c r="F17" i="18"/>
  <c r="C27" i="66"/>
  <c r="C18" i="14"/>
  <c r="C13" i="66"/>
  <c r="B18" i="14"/>
  <c r="B36" i="2"/>
  <c r="B34"/>
  <c r="B33"/>
  <c r="B8"/>
  <c r="C7"/>
  <c r="J46" s="1"/>
  <c r="C10" i="66"/>
  <c r="E17" i="18"/>
  <c r="C12" i="66"/>
  <c r="C17" i="18"/>
  <c r="C11" i="66"/>
  <c r="B17" i="18"/>
  <c r="C7" i="66"/>
  <c r="C8"/>
  <c r="D16" i="34"/>
  <c r="C25" i="63"/>
  <c r="D25"/>
  <c r="E25"/>
  <c r="F25"/>
  <c r="G25"/>
  <c r="H25"/>
  <c r="H11"/>
  <c r="H10"/>
  <c r="F172" i="51" l="1"/>
  <c r="B193" l="1"/>
  <c r="B136"/>
  <c r="B203" i="56"/>
  <c r="B199"/>
  <c r="F33" i="59"/>
  <c r="F31"/>
  <c r="I18" i="14"/>
  <c r="I9"/>
  <c r="I40" i="19"/>
  <c r="H40"/>
  <c r="G40"/>
  <c r="F40"/>
  <c r="E40"/>
  <c r="D40"/>
  <c r="C40"/>
  <c r="B40"/>
  <c r="I39"/>
  <c r="H39"/>
  <c r="G39"/>
  <c r="F39"/>
  <c r="E39"/>
  <c r="D39"/>
  <c r="C39"/>
  <c r="B39"/>
  <c r="I38"/>
  <c r="H38"/>
  <c r="G38"/>
  <c r="F38"/>
  <c r="E38"/>
  <c r="D38"/>
  <c r="C38"/>
  <c r="B38"/>
  <c r="I37"/>
  <c r="H37"/>
  <c r="G37"/>
  <c r="F37"/>
  <c r="E37"/>
  <c r="D37"/>
  <c r="C37"/>
  <c r="B37"/>
  <c r="I36"/>
  <c r="H36"/>
  <c r="G36"/>
  <c r="F36"/>
  <c r="E36"/>
  <c r="D36"/>
  <c r="C36"/>
  <c r="B36"/>
  <c r="H35"/>
  <c r="G35"/>
  <c r="F35"/>
  <c r="E35"/>
  <c r="D35"/>
  <c r="C35"/>
  <c r="B35"/>
  <c r="H15"/>
  <c r="G15"/>
  <c r="F15"/>
  <c r="E15"/>
  <c r="D15"/>
  <c r="C15"/>
  <c r="B15"/>
  <c r="H14"/>
  <c r="G14"/>
  <c r="F14"/>
  <c r="E14"/>
  <c r="D14"/>
  <c r="C14"/>
  <c r="B14"/>
  <c r="H13"/>
  <c r="G13"/>
  <c r="F13"/>
  <c r="E13"/>
  <c r="D13"/>
  <c r="C13"/>
  <c r="B13"/>
  <c r="H12"/>
  <c r="G12"/>
  <c r="F12"/>
  <c r="E12"/>
  <c r="D12"/>
  <c r="C12"/>
  <c r="B12"/>
  <c r="H11"/>
  <c r="G11"/>
  <c r="F11"/>
  <c r="E11"/>
  <c r="D11"/>
  <c r="C11"/>
  <c r="B11"/>
  <c r="H10"/>
  <c r="G10"/>
  <c r="F10"/>
  <c r="E10"/>
  <c r="D10"/>
  <c r="C10"/>
  <c r="B10"/>
  <c r="D18" i="14"/>
  <c r="F18"/>
  <c r="F17"/>
  <c r="B17"/>
  <c r="E18"/>
  <c r="C17"/>
  <c r="G93" i="52"/>
  <c r="G94"/>
  <c r="B82"/>
  <c r="G18" i="14" l="1"/>
  <c r="G96" i="52"/>
  <c r="G16" i="18"/>
  <c r="F16"/>
  <c r="E16"/>
  <c r="C16"/>
  <c r="B16"/>
  <c r="G15"/>
  <c r="F15"/>
  <c r="E15"/>
  <c r="C15"/>
  <c r="B15"/>
  <c r="G14"/>
  <c r="F14"/>
  <c r="E14"/>
  <c r="C14"/>
  <c r="B14"/>
  <c r="G13"/>
  <c r="F13"/>
  <c r="E13"/>
  <c r="C13"/>
  <c r="B13"/>
  <c r="G12"/>
  <c r="F12"/>
  <c r="E12"/>
  <c r="C12"/>
  <c r="B12"/>
  <c r="G11"/>
  <c r="F11"/>
  <c r="E11"/>
  <c r="C11"/>
  <c r="B11"/>
  <c r="F28" i="35"/>
  <c r="E28"/>
  <c r="D28"/>
  <c r="D194" i="51"/>
  <c r="C194"/>
  <c r="B194"/>
  <c r="B196" s="1"/>
  <c r="E194"/>
  <c r="D193"/>
  <c r="D196" s="1"/>
  <c r="E193"/>
  <c r="E196" s="1"/>
  <c r="C193"/>
  <c r="C196" s="1"/>
  <c r="F193"/>
  <c r="F136"/>
  <c r="D136"/>
  <c r="E136"/>
  <c r="C136"/>
  <c r="L176" i="55"/>
  <c r="L204" s="1"/>
  <c r="K176"/>
  <c r="K204" s="1"/>
  <c r="J176"/>
  <c r="J204" s="1"/>
  <c r="I176"/>
  <c r="H176"/>
  <c r="H204" s="1"/>
  <c r="G176"/>
  <c r="G204" s="1"/>
  <c r="F176"/>
  <c r="F204" s="1"/>
  <c r="E176"/>
  <c r="E204" s="1"/>
  <c r="D176"/>
  <c r="C176"/>
  <c r="C204" s="1"/>
  <c r="B176"/>
  <c r="B204" s="1"/>
  <c r="L133"/>
  <c r="L144" s="1"/>
  <c r="L205" s="1"/>
  <c r="K133"/>
  <c r="K144" s="1"/>
  <c r="K205" s="1"/>
  <c r="J133"/>
  <c r="J144" s="1"/>
  <c r="J205" s="1"/>
  <c r="I133"/>
  <c r="H133"/>
  <c r="H144" s="1"/>
  <c r="H205" s="1"/>
  <c r="G133"/>
  <c r="G144" s="1"/>
  <c r="G205" s="1"/>
  <c r="F133"/>
  <c r="F144" s="1"/>
  <c r="F205" s="1"/>
  <c r="E133"/>
  <c r="E144" s="1"/>
  <c r="E205" s="1"/>
  <c r="D133"/>
  <c r="C133"/>
  <c r="C144" s="1"/>
  <c r="C205" s="1"/>
  <c r="B133"/>
  <c r="B144" s="1"/>
  <c r="B205" s="1"/>
  <c r="L90"/>
  <c r="K90"/>
  <c r="J90"/>
  <c r="I90"/>
  <c r="H90"/>
  <c r="G90"/>
  <c r="F90"/>
  <c r="E90"/>
  <c r="D90"/>
  <c r="C90"/>
  <c r="B90"/>
  <c r="L47"/>
  <c r="K47"/>
  <c r="J47"/>
  <c r="I47"/>
  <c r="H47"/>
  <c r="G47"/>
  <c r="F47"/>
  <c r="E47"/>
  <c r="D47"/>
  <c r="C47"/>
  <c r="B47"/>
  <c r="A3"/>
  <c r="A46" s="1"/>
  <c r="A89" s="1"/>
  <c r="A132" s="1"/>
  <c r="A175" s="1"/>
  <c r="M207" i="54"/>
  <c r="K205"/>
  <c r="I205"/>
  <c r="G205"/>
  <c r="E205"/>
  <c r="C205"/>
  <c r="M203"/>
  <c r="M202"/>
  <c r="M201"/>
  <c r="M200"/>
  <c r="M198"/>
  <c r="M197"/>
  <c r="M196"/>
  <c r="M195"/>
  <c r="M194"/>
  <c r="M192"/>
  <c r="M191"/>
  <c r="M190"/>
  <c r="M189"/>
  <c r="M188"/>
  <c r="M186"/>
  <c r="M185"/>
  <c r="M184"/>
  <c r="M183"/>
  <c r="M182"/>
  <c r="L177"/>
  <c r="L205" s="1"/>
  <c r="K177"/>
  <c r="J177"/>
  <c r="J205" s="1"/>
  <c r="I177"/>
  <c r="H177"/>
  <c r="H205" s="1"/>
  <c r="G177"/>
  <c r="F177"/>
  <c r="F205" s="1"/>
  <c r="E177"/>
  <c r="D177"/>
  <c r="D205" s="1"/>
  <c r="C177"/>
  <c r="B177"/>
  <c r="B205" s="1"/>
  <c r="M173"/>
  <c r="M172"/>
  <c r="M171"/>
  <c r="M170"/>
  <c r="M169"/>
  <c r="M167"/>
  <c r="M166"/>
  <c r="M165"/>
  <c r="M164"/>
  <c r="M163"/>
  <c r="M161"/>
  <c r="M160"/>
  <c r="M159"/>
  <c r="M158"/>
  <c r="M157"/>
  <c r="M155"/>
  <c r="M154"/>
  <c r="M153"/>
  <c r="M152"/>
  <c r="M151"/>
  <c r="M177" s="1"/>
  <c r="M205" s="1"/>
  <c r="M142"/>
  <c r="M141"/>
  <c r="M140"/>
  <c r="M139"/>
  <c r="M138"/>
  <c r="L133"/>
  <c r="L144" s="1"/>
  <c r="L206" s="1"/>
  <c r="K133"/>
  <c r="J133"/>
  <c r="J144" s="1"/>
  <c r="J206" s="1"/>
  <c r="I133"/>
  <c r="H133"/>
  <c r="H144" s="1"/>
  <c r="H206" s="1"/>
  <c r="G133"/>
  <c r="F133"/>
  <c r="F144" s="1"/>
  <c r="F206" s="1"/>
  <c r="E133"/>
  <c r="D133"/>
  <c r="D144" s="1"/>
  <c r="D206" s="1"/>
  <c r="C133"/>
  <c r="B133"/>
  <c r="B144" s="1"/>
  <c r="B206" s="1"/>
  <c r="M129"/>
  <c r="M128"/>
  <c r="M127"/>
  <c r="M126"/>
  <c r="M125"/>
  <c r="M123"/>
  <c r="M122"/>
  <c r="M121"/>
  <c r="M120"/>
  <c r="M119"/>
  <c r="M117"/>
  <c r="M116"/>
  <c r="M115"/>
  <c r="M114"/>
  <c r="M113"/>
  <c r="M111"/>
  <c r="M110"/>
  <c r="M109"/>
  <c r="M108"/>
  <c r="M107"/>
  <c r="M105"/>
  <c r="M104"/>
  <c r="M103"/>
  <c r="M102"/>
  <c r="M101"/>
  <c r="M99"/>
  <c r="M98"/>
  <c r="M95"/>
  <c r="M133" s="1"/>
  <c r="L90"/>
  <c r="K90"/>
  <c r="K144" s="1"/>
  <c r="K206" s="1"/>
  <c r="J90"/>
  <c r="I90"/>
  <c r="I144" s="1"/>
  <c r="I206" s="1"/>
  <c r="H90"/>
  <c r="G90"/>
  <c r="G144" s="1"/>
  <c r="G206" s="1"/>
  <c r="F90"/>
  <c r="E90"/>
  <c r="E144" s="1"/>
  <c r="E206" s="1"/>
  <c r="D90"/>
  <c r="C90"/>
  <c r="C144" s="1"/>
  <c r="C206" s="1"/>
  <c r="B90"/>
  <c r="M86"/>
  <c r="M85"/>
  <c r="M84"/>
  <c r="M83"/>
  <c r="M82"/>
  <c r="M80"/>
  <c r="M79"/>
  <c r="M78"/>
  <c r="M77"/>
  <c r="M76"/>
  <c r="M74"/>
  <c r="M73"/>
  <c r="M72"/>
  <c r="M71"/>
  <c r="M70"/>
  <c r="M68"/>
  <c r="M67"/>
  <c r="M66"/>
  <c r="M65"/>
  <c r="M64"/>
  <c r="M62"/>
  <c r="M61"/>
  <c r="M60"/>
  <c r="M59"/>
  <c r="M58"/>
  <c r="M56"/>
  <c r="M55"/>
  <c r="M54"/>
  <c r="M53"/>
  <c r="M52"/>
  <c r="M90" s="1"/>
  <c r="L47"/>
  <c r="K47"/>
  <c r="J47"/>
  <c r="I47"/>
  <c r="H47"/>
  <c r="G47"/>
  <c r="F47"/>
  <c r="E47"/>
  <c r="D47"/>
  <c r="C47"/>
  <c r="B47"/>
  <c r="M43"/>
  <c r="M42"/>
  <c r="M41"/>
  <c r="M40"/>
  <c r="M39"/>
  <c r="M37"/>
  <c r="M36"/>
  <c r="M35"/>
  <c r="M34"/>
  <c r="M33"/>
  <c r="M31"/>
  <c r="M30"/>
  <c r="M29"/>
  <c r="M28"/>
  <c r="M27"/>
  <c r="M25"/>
  <c r="M24"/>
  <c r="M23"/>
  <c r="M22"/>
  <c r="M21"/>
  <c r="M19"/>
  <c r="M18"/>
  <c r="M17"/>
  <c r="M16"/>
  <c r="M15"/>
  <c r="M13"/>
  <c r="M12"/>
  <c r="M11"/>
  <c r="M10"/>
  <c r="M9"/>
  <c r="M47" s="1"/>
  <c r="A3"/>
  <c r="A46" s="1"/>
  <c r="A89" s="1"/>
  <c r="A132" s="1"/>
  <c r="A176" s="1"/>
  <c r="N18" i="13"/>
  <c r="F20" i="35"/>
  <c r="E20"/>
  <c r="D20"/>
  <c r="F19"/>
  <c r="F16"/>
  <c r="E16"/>
  <c r="D16"/>
  <c r="E12"/>
  <c r="D12"/>
  <c r="F15"/>
  <c r="F14"/>
  <c r="F13"/>
  <c r="F12"/>
  <c r="F8"/>
  <c r="F9"/>
  <c r="F10"/>
  <c r="F11"/>
  <c r="F7"/>
  <c r="F6"/>
  <c r="F5"/>
  <c r="B208" i="55" l="1"/>
  <c r="H208"/>
  <c r="J208"/>
  <c r="L208"/>
  <c r="C208"/>
  <c r="E208"/>
  <c r="G208"/>
  <c r="K208"/>
  <c r="M144" i="54"/>
  <c r="M206" s="1"/>
  <c r="E209"/>
  <c r="I209"/>
  <c r="B209"/>
  <c r="D209"/>
  <c r="F209"/>
  <c r="H209"/>
  <c r="J209"/>
  <c r="L209"/>
  <c r="C209"/>
  <c r="G209"/>
  <c r="K209"/>
  <c r="J19" i="57"/>
  <c r="I19"/>
  <c r="G19"/>
  <c r="F19"/>
  <c r="D19"/>
  <c r="C19"/>
  <c r="E33" i="59" l="1"/>
  <c r="D33"/>
  <c r="C33"/>
  <c r="B33"/>
  <c r="A3" i="56"/>
  <c r="L18" i="13"/>
  <c r="J18"/>
  <c r="H18"/>
  <c r="F18"/>
  <c r="D18"/>
  <c r="B18"/>
  <c r="K104" i="50"/>
  <c r="K101"/>
  <c r="K100"/>
  <c r="K28"/>
  <c r="H23"/>
  <c r="K28" i="70"/>
  <c r="J28"/>
  <c r="K27"/>
  <c r="J27"/>
  <c r="K26"/>
  <c r="J26"/>
  <c r="K25"/>
  <c r="J25"/>
  <c r="F22"/>
  <c r="K29" s="1"/>
  <c r="F13"/>
  <c r="J29" l="1"/>
  <c r="F24"/>
  <c r="AE20" i="40" l="1"/>
  <c r="AD20"/>
  <c r="AB20" s="1"/>
  <c r="B40" i="66"/>
  <c r="C140" i="61"/>
  <c r="B140"/>
  <c r="B201" s="1"/>
  <c r="G136" i="60"/>
  <c r="G195" s="1"/>
  <c r="G197" s="1"/>
  <c r="C19" i="63" s="1"/>
  <c r="C136" i="60"/>
  <c r="H140" i="61"/>
  <c r="F140"/>
  <c r="F201" s="1"/>
  <c r="E140"/>
  <c r="G194" i="60"/>
  <c r="F194"/>
  <c r="E194"/>
  <c r="D194"/>
  <c r="C194"/>
  <c r="F136"/>
  <c r="F195" s="1"/>
  <c r="F197" s="1"/>
  <c r="C12" i="63" s="1"/>
  <c r="E136" i="60"/>
  <c r="E195" s="1"/>
  <c r="E197" s="1"/>
  <c r="D136"/>
  <c r="D195" s="1"/>
  <c r="D197" s="1"/>
  <c r="C195"/>
  <c r="C197" s="1"/>
  <c r="B136"/>
  <c r="B195" s="1"/>
  <c r="B197" s="1"/>
  <c r="P199" i="62"/>
  <c r="N199"/>
  <c r="F200" i="61"/>
  <c r="H200"/>
  <c r="B140" i="62"/>
  <c r="B200" s="1"/>
  <c r="C17" i="66"/>
  <c r="A3" i="69"/>
  <c r="I8"/>
  <c r="I34" s="1"/>
  <c r="I9"/>
  <c r="I10"/>
  <c r="I11"/>
  <c r="I12"/>
  <c r="I13"/>
  <c r="I14"/>
  <c r="I15"/>
  <c r="I16"/>
  <c r="I17"/>
  <c r="I18"/>
  <c r="I19"/>
  <c r="I20"/>
  <c r="I21"/>
  <c r="I22"/>
  <c r="I23"/>
  <c r="I24"/>
  <c r="I25"/>
  <c r="I26"/>
  <c r="I27"/>
  <c r="I28"/>
  <c r="I29"/>
  <c r="I30"/>
  <c r="I31"/>
  <c r="I32"/>
  <c r="E34"/>
  <c r="F41" s="1"/>
  <c r="F34"/>
  <c r="F42" s="1"/>
  <c r="G34"/>
  <c r="F39" s="1"/>
  <c r="H34"/>
  <c r="F40"/>
  <c r="A3" i="68"/>
  <c r="G9"/>
  <c r="D8" i="69" s="1"/>
  <c r="G10" i="68"/>
  <c r="D9" i="69" s="1"/>
  <c r="G11" i="68"/>
  <c r="D10" i="69" s="1"/>
  <c r="G12" i="68"/>
  <c r="D11" i="69" s="1"/>
  <c r="G13" i="68"/>
  <c r="D12" i="69" s="1"/>
  <c r="G14" i="68"/>
  <c r="D13" i="69" s="1"/>
  <c r="G15" i="68"/>
  <c r="D14" i="69" s="1"/>
  <c r="G16" i="68"/>
  <c r="D15" i="69" s="1"/>
  <c r="G17" i="68"/>
  <c r="D16" i="69" s="1"/>
  <c r="G18" i="68"/>
  <c r="D17" i="69" s="1"/>
  <c r="G19" i="68"/>
  <c r="D18" i="69" s="1"/>
  <c r="G20" i="68"/>
  <c r="D19" i="69" s="1"/>
  <c r="G21" i="68"/>
  <c r="D20" i="69" s="1"/>
  <c r="G22" i="68"/>
  <c r="D21" i="69"/>
  <c r="G23" i="68"/>
  <c r="D22" i="69"/>
  <c r="G24" i="68"/>
  <c r="D23" i="69"/>
  <c r="G25" i="68"/>
  <c r="D24" i="69"/>
  <c r="G26" i="68"/>
  <c r="D25" i="69"/>
  <c r="G27" i="68"/>
  <c r="D26" i="69"/>
  <c r="G28" i="68"/>
  <c r="D27" i="69"/>
  <c r="G29" i="68"/>
  <c r="D28" i="69"/>
  <c r="G30" i="68"/>
  <c r="D29" i="69"/>
  <c r="G31" i="68"/>
  <c r="D30" i="69"/>
  <c r="G32" i="68"/>
  <c r="D31" i="69"/>
  <c r="G33" i="68"/>
  <c r="D32" i="69"/>
  <c r="D35" i="68"/>
  <c r="AC19"/>
  <c r="E35"/>
  <c r="AC21" s="1"/>
  <c r="F35"/>
  <c r="AC20" s="1"/>
  <c r="K8" i="67"/>
  <c r="K9"/>
  <c r="K10"/>
  <c r="K11"/>
  <c r="K12"/>
  <c r="K13"/>
  <c r="K14"/>
  <c r="K15"/>
  <c r="K16"/>
  <c r="K17"/>
  <c r="K18"/>
  <c r="K19"/>
  <c r="K20"/>
  <c r="K21"/>
  <c r="K22"/>
  <c r="K23"/>
  <c r="K24"/>
  <c r="K25"/>
  <c r="K26"/>
  <c r="K27"/>
  <c r="K28"/>
  <c r="K29"/>
  <c r="K30"/>
  <c r="K31"/>
  <c r="K32"/>
  <c r="D34"/>
  <c r="E34"/>
  <c r="F34"/>
  <c r="G34"/>
  <c r="H34"/>
  <c r="I34"/>
  <c r="J34"/>
  <c r="N30" i="66"/>
  <c r="N29"/>
  <c r="N28"/>
  <c r="E36"/>
  <c r="E35"/>
  <c r="E34"/>
  <c r="E33"/>
  <c r="E32"/>
  <c r="E31"/>
  <c r="E30"/>
  <c r="E29"/>
  <c r="E28"/>
  <c r="E27"/>
  <c r="E26"/>
  <c r="E25"/>
  <c r="E24"/>
  <c r="E23"/>
  <c r="E22"/>
  <c r="E21"/>
  <c r="E20"/>
  <c r="E15"/>
  <c r="E14"/>
  <c r="E13"/>
  <c r="E12"/>
  <c r="E11"/>
  <c r="E10"/>
  <c r="E9"/>
  <c r="E8"/>
  <c r="E7"/>
  <c r="C38"/>
  <c r="C12" i="2" s="1"/>
  <c r="B38" i="66"/>
  <c r="B12" i="2" s="1"/>
  <c r="B17" i="66"/>
  <c r="B11" i="2" s="1"/>
  <c r="J39" i="57"/>
  <c r="J38"/>
  <c r="J37"/>
  <c r="J36"/>
  <c r="J35"/>
  <c r="J34"/>
  <c r="J33"/>
  <c r="J32"/>
  <c r="J31"/>
  <c r="J30"/>
  <c r="H15" i="63"/>
  <c r="H16"/>
  <c r="H8"/>
  <c r="H9"/>
  <c r="H24"/>
  <c r="G24"/>
  <c r="F24"/>
  <c r="E24"/>
  <c r="D24"/>
  <c r="C24"/>
  <c r="G23"/>
  <c r="F23"/>
  <c r="E23"/>
  <c r="D23"/>
  <c r="C23"/>
  <c r="H22"/>
  <c r="G22"/>
  <c r="F22"/>
  <c r="E22"/>
  <c r="D22"/>
  <c r="C22"/>
  <c r="L199" i="62"/>
  <c r="J199"/>
  <c r="H199"/>
  <c r="F199"/>
  <c r="D199"/>
  <c r="P140"/>
  <c r="P200" s="1"/>
  <c r="N140"/>
  <c r="L140"/>
  <c r="L200" s="1"/>
  <c r="J140"/>
  <c r="J200" s="1"/>
  <c r="H140"/>
  <c r="H200" s="1"/>
  <c r="H202" s="1"/>
  <c r="E19" i="63" s="1"/>
  <c r="F140" i="62"/>
  <c r="F200" s="1"/>
  <c r="D140"/>
  <c r="D200" s="1"/>
  <c r="D202" s="1"/>
  <c r="D19" i="63" s="1"/>
  <c r="D200" i="61"/>
  <c r="C200"/>
  <c r="H201"/>
  <c r="H203" s="1"/>
  <c r="M19" i="57"/>
  <c r="L19"/>
  <c r="G199" i="56"/>
  <c r="F199"/>
  <c r="E199"/>
  <c r="D199"/>
  <c r="C199"/>
  <c r="G140"/>
  <c r="G200" s="1"/>
  <c r="F140"/>
  <c r="F200" s="1"/>
  <c r="F203" s="1"/>
  <c r="E140"/>
  <c r="E200" s="1"/>
  <c r="E203" s="1"/>
  <c r="D140"/>
  <c r="D200" s="1"/>
  <c r="D203" s="1"/>
  <c r="C140"/>
  <c r="C200" s="1"/>
  <c r="C203" s="1"/>
  <c r="B140"/>
  <c r="B200" s="1"/>
  <c r="A129"/>
  <c r="H94" i="52"/>
  <c r="D82"/>
  <c r="H93"/>
  <c r="H96" s="1"/>
  <c r="D92"/>
  <c r="I91"/>
  <c r="D91"/>
  <c r="I90"/>
  <c r="D90"/>
  <c r="I89"/>
  <c r="D89"/>
  <c r="I88"/>
  <c r="D88"/>
  <c r="I86"/>
  <c r="I85"/>
  <c r="I84"/>
  <c r="I83"/>
  <c r="I82"/>
  <c r="C82"/>
  <c r="I80"/>
  <c r="D80"/>
  <c r="I79"/>
  <c r="D79"/>
  <c r="I78"/>
  <c r="D78"/>
  <c r="I77"/>
  <c r="D77"/>
  <c r="I76"/>
  <c r="D76"/>
  <c r="I74"/>
  <c r="D74"/>
  <c r="I73"/>
  <c r="D73"/>
  <c r="I72"/>
  <c r="D72"/>
  <c r="I71"/>
  <c r="D71"/>
  <c r="I70"/>
  <c r="D70"/>
  <c r="I68"/>
  <c r="D68"/>
  <c r="I67"/>
  <c r="D67"/>
  <c r="I66"/>
  <c r="D66"/>
  <c r="I65"/>
  <c r="D65"/>
  <c r="I64"/>
  <c r="D64"/>
  <c r="I62"/>
  <c r="D62"/>
  <c r="I61"/>
  <c r="D61"/>
  <c r="I60"/>
  <c r="D60"/>
  <c r="I59"/>
  <c r="D59"/>
  <c r="I58"/>
  <c r="D58"/>
  <c r="I56"/>
  <c r="D56"/>
  <c r="I55"/>
  <c r="D55"/>
  <c r="I54"/>
  <c r="D54"/>
  <c r="I53"/>
  <c r="D53"/>
  <c r="I52"/>
  <c r="D52"/>
  <c r="I46"/>
  <c r="D46"/>
  <c r="I45"/>
  <c r="D45"/>
  <c r="I44"/>
  <c r="D44"/>
  <c r="I43"/>
  <c r="D43"/>
  <c r="I42"/>
  <c r="D42"/>
  <c r="I40"/>
  <c r="D40"/>
  <c r="I39"/>
  <c r="D39"/>
  <c r="I38"/>
  <c r="D38"/>
  <c r="I37"/>
  <c r="D37"/>
  <c r="I36"/>
  <c r="D36"/>
  <c r="I34"/>
  <c r="D34"/>
  <c r="I33"/>
  <c r="D33"/>
  <c r="I32"/>
  <c r="D32"/>
  <c r="I31"/>
  <c r="D31"/>
  <c r="I30"/>
  <c r="D30"/>
  <c r="I28"/>
  <c r="D28"/>
  <c r="I27"/>
  <c r="D27"/>
  <c r="I26"/>
  <c r="D26"/>
  <c r="I25"/>
  <c r="D25"/>
  <c r="I24"/>
  <c r="D24"/>
  <c r="I22"/>
  <c r="D22"/>
  <c r="I21"/>
  <c r="D21"/>
  <c r="I20"/>
  <c r="D20"/>
  <c r="I19"/>
  <c r="D19"/>
  <c r="I18"/>
  <c r="D18"/>
  <c r="I16"/>
  <c r="D16"/>
  <c r="I15"/>
  <c r="D15"/>
  <c r="I14"/>
  <c r="D14"/>
  <c r="I13"/>
  <c r="D13"/>
  <c r="I12"/>
  <c r="D12"/>
  <c r="I10"/>
  <c r="D10"/>
  <c r="I9"/>
  <c r="D9"/>
  <c r="I8"/>
  <c r="D8"/>
  <c r="I7"/>
  <c r="D7"/>
  <c r="I6"/>
  <c r="D6"/>
  <c r="D17" i="14"/>
  <c r="G17" s="1"/>
  <c r="I17" s="1"/>
  <c r="F194" i="51"/>
  <c r="F196" s="1"/>
  <c r="K102" i="50"/>
  <c r="E17" i="14"/>
  <c r="I93" i="52"/>
  <c r="AD19" i="40"/>
  <c r="AB19" s="1"/>
  <c r="AD18"/>
  <c r="AB18" s="1"/>
  <c r="AD17"/>
  <c r="AB17" s="1"/>
  <c r="AD16"/>
  <c r="AB16" s="1"/>
  <c r="AD15"/>
  <c r="AB15" s="1"/>
  <c r="AD14"/>
  <c r="AB14" s="1"/>
  <c r="AD13"/>
  <c r="AB13" s="1"/>
  <c r="AD12"/>
  <c r="AB12" s="1"/>
  <c r="AD11"/>
  <c r="AB11" s="1"/>
  <c r="AD10"/>
  <c r="AB10" s="1"/>
  <c r="AD9"/>
  <c r="AB9" s="1"/>
  <c r="AD8"/>
  <c r="AB8" s="1"/>
  <c r="D15" i="34"/>
  <c r="B16" i="14"/>
  <c r="D9"/>
  <c r="E9"/>
  <c r="B10"/>
  <c r="C10"/>
  <c r="D11"/>
  <c r="G11" s="1"/>
  <c r="I11" s="1"/>
  <c r="B12"/>
  <c r="C12"/>
  <c r="D12" s="1"/>
  <c r="G12" s="1"/>
  <c r="I12" s="1"/>
  <c r="E12"/>
  <c r="D13"/>
  <c r="G13" s="1"/>
  <c r="I13" s="1"/>
  <c r="B14"/>
  <c r="C14"/>
  <c r="D14"/>
  <c r="E14"/>
  <c r="F14"/>
  <c r="B15"/>
  <c r="C15"/>
  <c r="D15" s="1"/>
  <c r="E15"/>
  <c r="F15"/>
  <c r="C16"/>
  <c r="D16" s="1"/>
  <c r="E16"/>
  <c r="F16"/>
  <c r="E6" i="2"/>
  <c r="B38"/>
  <c r="E8"/>
  <c r="A87" i="56"/>
  <c r="A171"/>
  <c r="A45"/>
  <c r="C201" i="61"/>
  <c r="C203" s="1"/>
  <c r="D140"/>
  <c r="D201" s="1"/>
  <c r="D203" s="1"/>
  <c r="B200"/>
  <c r="E201"/>
  <c r="E200"/>
  <c r="G200" s="1"/>
  <c r="G35" i="68"/>
  <c r="P202" i="62" l="1"/>
  <c r="G19" i="63" s="1"/>
  <c r="H19" s="1"/>
  <c r="G140" i="61"/>
  <c r="B203"/>
  <c r="L202" i="62"/>
  <c r="F19" i="63" s="1"/>
  <c r="C40" i="66"/>
  <c r="E40" s="1"/>
  <c r="C11" i="2"/>
  <c r="C16" s="1"/>
  <c r="B202" i="62"/>
  <c r="D12" i="63" s="1"/>
  <c r="D26" s="1"/>
  <c r="F202" i="62"/>
  <c r="E12" i="63" s="1"/>
  <c r="E26" s="1"/>
  <c r="J202" i="62"/>
  <c r="F12" i="63" s="1"/>
  <c r="N200" i="62"/>
  <c r="N202" s="1"/>
  <c r="G12" i="63" s="1"/>
  <c r="H23"/>
  <c r="E203" i="61"/>
  <c r="G16" i="14"/>
  <c r="I16" s="1"/>
  <c r="D10"/>
  <c r="G10" s="1"/>
  <c r="I10" s="1"/>
  <c r="G15"/>
  <c r="I15" s="1"/>
  <c r="G14"/>
  <c r="I14" s="1"/>
  <c r="G9"/>
  <c r="G203" i="56"/>
  <c r="I94" i="52"/>
  <c r="I96" s="1"/>
  <c r="K34" i="67"/>
  <c r="E12" i="2"/>
  <c r="N31" i="66"/>
  <c r="O31" s="1"/>
  <c r="E38"/>
  <c r="B16" i="2"/>
  <c r="B13"/>
  <c r="B40" s="1"/>
  <c r="G201" i="61"/>
  <c r="E17" i="66"/>
  <c r="C17" i="2"/>
  <c r="B7"/>
  <c r="F203" i="61"/>
  <c r="G203" s="1"/>
  <c r="C26" i="63"/>
  <c r="F43" i="69"/>
  <c r="G41" s="1"/>
  <c r="AC22" i="68"/>
  <c r="AD19" s="1"/>
  <c r="D34" i="69"/>
  <c r="F26" i="63" l="1"/>
  <c r="H12"/>
  <c r="H26" s="1"/>
  <c r="E16" i="2"/>
  <c r="B17"/>
  <c r="B18" s="1"/>
  <c r="E7"/>
  <c r="O28" i="66"/>
  <c r="O30"/>
  <c r="C18" i="2"/>
  <c r="E11"/>
  <c r="C13"/>
  <c r="C40" s="1"/>
  <c r="G26" i="63"/>
  <c r="O29" i="66"/>
  <c r="AD21" i="68"/>
  <c r="AD20"/>
  <c r="E17" i="2"/>
  <c r="G39" i="69"/>
  <c r="G42"/>
  <c r="G40"/>
  <c r="E18" i="2" l="1"/>
  <c r="E13"/>
  <c r="AD22" i="68"/>
</calcChain>
</file>

<file path=xl/sharedStrings.xml><?xml version="1.0" encoding="utf-8"?>
<sst xmlns="http://schemas.openxmlformats.org/spreadsheetml/2006/main" count="3037" uniqueCount="1120">
  <si>
    <t>Total Department Other Fund Revenues</t>
  </si>
  <si>
    <t>Aggregate (All Funds)</t>
  </si>
  <si>
    <t>Notes:</t>
  </si>
  <si>
    <t>Sales and Use Tax</t>
  </si>
  <si>
    <t>Individual Income Tax</t>
  </si>
  <si>
    <t xml:space="preserve">5. Source: The Commonwealth Accounting and Reporting System. </t>
  </si>
  <si>
    <t>FY 2009</t>
  </si>
  <si>
    <t xml:space="preserve">Corporation income </t>
  </si>
  <si>
    <t xml:space="preserve">Individual income </t>
  </si>
  <si>
    <t>FY 2010</t>
  </si>
  <si>
    <t>Net Revenue Collections</t>
  </si>
  <si>
    <t>General Fund</t>
  </si>
  <si>
    <t>All Other Funds</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</si>
  <si>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</si>
  <si>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</si>
  <si>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</si>
  <si>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</si>
  <si>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</si>
  <si>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</si>
  <si>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</si>
  <si>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</si>
  <si>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</si>
  <si>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</si>
  <si>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Tax Value Assistance to Localities*</t>
  </si>
  <si>
    <t>Administrative and Support Services</t>
  </si>
  <si>
    <t>Total</t>
  </si>
  <si>
    <t>Cost per $100 of collections</t>
  </si>
  <si>
    <t>Note:</t>
  </si>
  <si>
    <t>* The Tax Department is custodian of the funds appropriated to the State Land Evaluation Advisory</t>
  </si>
  <si>
    <t>Council (SLEAC) and makes expenditures on behalf of SLEAC.  These expenditures are not included above.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</si>
  <si>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</si>
  <si>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</si>
  <si>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</si>
  <si>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</si>
  <si>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</si>
  <si>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</si>
  <si>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</si>
  <si>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</si>
  <si>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</si>
  <si>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</si>
  <si>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</si>
  <si>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</si>
  <si>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</si>
  <si>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4. In previous years' reports, the Railroad and Car line company taxes have been stated separately.  This year, they were combined as the Rolling Stock Tax.</t>
  </si>
  <si>
    <t>Fiscal Year</t>
  </si>
  <si>
    <t>Table 2.2</t>
  </si>
  <si>
    <t>Number of Corporate Returns, Taxable Income, and Tax Liability</t>
  </si>
  <si>
    <t>Reported Taxable Income</t>
  </si>
  <si>
    <t>Number of Corporate Returns</t>
  </si>
  <si>
    <t>Percent of</t>
  </si>
  <si>
    <t>Taxable</t>
  </si>
  <si>
    <t xml:space="preserve">Tax </t>
  </si>
  <si>
    <t>From Virginia Sources</t>
  </si>
  <si>
    <t>Form 500</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</si>
  <si>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</si>
  <si>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</si>
  <si>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</si>
  <si>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</si>
  <si>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</si>
  <si>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</si>
  <si>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</si>
  <si>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</si>
  <si>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</si>
  <si>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</si>
  <si>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</si>
  <si>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</si>
  <si>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</si>
  <si>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 xml:space="preserve">1. The tax rate is 6% of the corporation's Virginia taxable income, except in the case of certain energy suppliers </t>
  </si>
  <si>
    <t xml:space="preserve">    and telecommunication companies who are subject to a Minimum Tax.</t>
  </si>
  <si>
    <t>2. Tax Assessed shown is before any credits.</t>
  </si>
  <si>
    <t>3. Some columns may not match totals due to rounding.</t>
  </si>
  <si>
    <t>4. If a corporation reports a negative taxable income, its taxable income is treated as zero in this table.</t>
  </si>
  <si>
    <r>
      <t>Form 502</t>
    </r>
    <r>
      <rPr>
        <b/>
        <vertAlign val="superscript"/>
        <sz val="10"/>
        <rFont val="Arial"/>
        <family val="2"/>
      </rPr>
      <t>†</t>
    </r>
  </si>
  <si>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</si>
  <si>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</si>
  <si>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</si>
  <si>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</si>
  <si>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</si>
  <si>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</si>
  <si>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</si>
  <si>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</si>
  <si>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</si>
  <si>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</si>
  <si>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</si>
  <si>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</si>
  <si>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</si>
  <si>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</si>
  <si>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</si>
  <si>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</si>
  <si>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</si>
  <si>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</si>
  <si>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3. One-fourth of the 4% state tax is returned to localities for education, based on each locality's school-age population.</t>
  </si>
  <si>
    <t>4. One-eighth of the 4% state tax is allocated to the Transportation Trust Fund for use by the Commonwealth Transportation Board.</t>
  </si>
  <si>
    <t>5. The local option tax of 1% is distributed to localities based on point of sale.  Local tax collections are net of all adjustments and costs of collection.</t>
  </si>
  <si>
    <t>6. One-sixteenth of the 4% state tax is allocated to the Public Education Standards of Quality/Local Real Estate Property Tax Relief Fund.</t>
  </si>
  <si>
    <t>7. The state tax was increased from 3.5% to 4% on September 1, 2004.</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</si>
  <si>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</si>
  <si>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</si>
  <si>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</si>
  <si>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</si>
  <si>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</si>
  <si>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</si>
  <si>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</si>
  <si>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</si>
  <si>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</si>
  <si>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</si>
  <si>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</si>
  <si>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</si>
  <si>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</si>
  <si>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</si>
  <si>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</si>
  <si>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</si>
  <si>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</si>
  <si>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</si>
  <si>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</si>
  <si>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</si>
  <si>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</si>
  <si>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Bedford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</si>
  <si>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</si>
  <si>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</si>
  <si>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</si>
  <si>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</si>
  <si>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</si>
  <si>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</si>
  <si>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</si>
  <si>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</si>
  <si>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</si>
  <si>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</si>
  <si>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</si>
  <si>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</si>
  <si>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</si>
  <si>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</si>
  <si>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</si>
  <si>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</si>
  <si>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</si>
  <si>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</si>
  <si>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</si>
  <si>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</si>
  <si>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</si>
  <si>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</si>
  <si>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</si>
  <si>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</si>
  <si>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</si>
  <si>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</si>
  <si>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</si>
  <si>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</si>
  <si>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</si>
  <si>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</si>
  <si>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</si>
  <si>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</si>
  <si>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</si>
  <si>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</si>
  <si>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</si>
  <si>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</si>
  <si>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</si>
  <si>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</si>
  <si>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</si>
  <si>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</si>
  <si>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</si>
  <si>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</si>
  <si>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</si>
  <si>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</si>
  <si>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</si>
  <si>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</si>
  <si>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</si>
  <si>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</si>
  <si>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</si>
  <si>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</si>
  <si>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</si>
  <si>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</si>
  <si>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</si>
  <si>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</si>
  <si>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</si>
  <si>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</si>
  <si>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</si>
  <si>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</si>
  <si>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</si>
  <si>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</si>
  <si>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</si>
  <si>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</si>
  <si>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</si>
  <si>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</si>
  <si>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</si>
  <si>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</si>
  <si>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</si>
  <si>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</si>
  <si>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</si>
  <si>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</si>
  <si>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</si>
  <si>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</si>
  <si>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</si>
  <si>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</si>
  <si>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</si>
  <si>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</si>
  <si>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</si>
  <si>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</si>
  <si>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</si>
  <si>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</si>
  <si>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</si>
  <si>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</si>
  <si>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</si>
  <si>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</si>
  <si>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</si>
  <si>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</si>
  <si>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</si>
  <si>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</si>
  <si>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</si>
  <si>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</si>
  <si>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</si>
  <si>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</si>
  <si>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</si>
  <si>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</si>
  <si>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</si>
  <si>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</si>
  <si>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</si>
  <si>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</si>
  <si>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</si>
  <si>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</si>
  <si>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</si>
  <si>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</si>
  <si>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</si>
  <si>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</si>
  <si>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</si>
  <si>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</si>
  <si>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</si>
  <si>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Virginia Motor Fuel Sales Tax Revenue Collections by Locality</t>
  </si>
  <si>
    <t>Locality</t>
  </si>
  <si>
    <t>FY 2008</t>
  </si>
  <si>
    <t>Arlington County</t>
  </si>
  <si>
    <t>Fairfax County</t>
  </si>
  <si>
    <t>Loudoun County</t>
  </si>
  <si>
    <t>Alexandria City</t>
  </si>
  <si>
    <t>Fairfax City</t>
  </si>
  <si>
    <t>Falls Church City</t>
  </si>
  <si>
    <t>Northern Virginia</t>
  </si>
  <si>
    <t>Transportation Commission</t>
  </si>
  <si>
    <t>Prince William County</t>
  </si>
  <si>
    <t>Stafford County</t>
  </si>
  <si>
    <t>Fredericksburg City</t>
  </si>
  <si>
    <t>Manassas City</t>
  </si>
  <si>
    <t>Manassas Park City</t>
  </si>
  <si>
    <t>Spotsylvania County</t>
  </si>
  <si>
    <t>N/A</t>
  </si>
  <si>
    <t>Potomac and Rappahannock</t>
  </si>
  <si>
    <t>Table 4.1</t>
  </si>
  <si>
    <t>Other Taxes Net Revenue Collections - General Fund</t>
  </si>
  <si>
    <t>Recordation</t>
  </si>
  <si>
    <t>Suits</t>
  </si>
  <si>
    <t>Tobacco</t>
  </si>
  <si>
    <t>Estate</t>
  </si>
  <si>
    <t>Watercraft</t>
  </si>
  <si>
    <t>Rolling</t>
  </si>
  <si>
    <t>&amp; Deeds</t>
  </si>
  <si>
    <t>&amp; Wills</t>
  </si>
  <si>
    <t>Excise</t>
  </si>
  <si>
    <t>Stock Tax</t>
  </si>
  <si>
    <t>5. The watercraft sales and use tax is imposed at a rate of 2 percent of the purchase price, up to a maximum of $2,000.</t>
  </si>
  <si>
    <t>6. The rolling stock tax on railroads, freight car companies, and certified motor vehicle carriers is $1 on each $100 of assessed value.</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</si>
  <si>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</si>
  <si>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3.  Prior to September 1, 2004, the cigarette tax was imposed at the rate of 2.5 cents per pack of 20 cigarettes and revenues were deposited in the General Fund.  Beginning September 1, 2004, all cigarette tax revenues are now deposited into the Virginia Health Care Fund.  The revenue from the Tobacco Excise Tax in the General Fund for FY 2005 corresponds to collections from July and August 2004 purchases.</t>
  </si>
  <si>
    <t>Other Taxes Net Revenue Collections - Other Funds</t>
  </si>
  <si>
    <t>Tire</t>
  </si>
  <si>
    <t>Egg</t>
  </si>
  <si>
    <t>Peanut</t>
  </si>
  <si>
    <t>Cigarette</t>
  </si>
  <si>
    <t>Other Tobacco</t>
  </si>
  <si>
    <t>Recycling</t>
  </si>
  <si>
    <t>Promotion</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</si>
  <si>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</si>
  <si>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</si>
  <si>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</si>
  <si>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</si>
  <si>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</si>
  <si>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</si>
  <si>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</si>
  <si>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</si>
  <si>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</si>
  <si>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</si>
  <si>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</si>
  <si>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</si>
  <si>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</si>
  <si>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</si>
  <si>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</si>
  <si>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</si>
  <si>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</si>
  <si>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</si>
  <si>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</si>
  <si>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</si>
  <si>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</si>
  <si>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</si>
  <si>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</si>
  <si>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</si>
  <si>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</si>
  <si>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</si>
  <si>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</si>
  <si>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</si>
  <si>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</si>
  <si>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</si>
  <si>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</si>
  <si>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</si>
  <si>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</si>
  <si>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</si>
  <si>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</si>
  <si>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</si>
  <si>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</si>
  <si>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58.1-439.4</t>
  </si>
  <si>
    <t>Day-Care Facility Investment Credit</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</si>
  <si>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</si>
  <si>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</si>
  <si>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</si>
  <si>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</si>
  <si>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</si>
  <si>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</si>
  <si>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</si>
  <si>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</si>
  <si>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</si>
  <si>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</si>
  <si>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</si>
  <si>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</si>
  <si>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</si>
  <si>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</si>
  <si>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</si>
  <si>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</si>
  <si>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58.1-439.9</t>
  </si>
  <si>
    <t>Tax Credit for Certain Employers Hiring Recipients of Temporary Assistance to Needy Families (TANF)</t>
  </si>
  <si>
    <t>§ 58.1-512</t>
  </si>
  <si>
    <t>Land Preservation Tax Credit</t>
  </si>
  <si>
    <t>1999 (effective 2000)</t>
  </si>
  <si>
    <t>§ 58.1-339.6</t>
  </si>
  <si>
    <t>Political Candidates Contribution Tax Credit</t>
  </si>
  <si>
    <t>§ 58.1-339.7</t>
  </si>
  <si>
    <t>Livable Home Tax Credit</t>
  </si>
  <si>
    <t>§ 58.1-433.1</t>
  </si>
  <si>
    <t xml:space="preserve">Virginia Coal Employment and Production Incentive Tax Credit </t>
  </si>
  <si>
    <t>1999 (effective 2001)</t>
  </si>
  <si>
    <t>§ 58.1-339.8</t>
  </si>
  <si>
    <t>Low-Income Taxpayer Credit</t>
  </si>
  <si>
    <t>2000 (effective 2000)</t>
  </si>
  <si>
    <t>§§ 58.1-339.10 &amp; 58.1-439.12</t>
  </si>
  <si>
    <t xml:space="preserve">Riparian Forest Buffer Protection for Waterways Tax Credit  </t>
  </si>
  <si>
    <t>§ 58.1-339.9</t>
  </si>
  <si>
    <t xml:space="preserve">Rent Reductions Tax Credit  </t>
  </si>
  <si>
    <t>§ 58.1-339.11</t>
  </si>
  <si>
    <t>Long-term Care Insurance Tax Credit</t>
  </si>
  <si>
    <t>2006 (effective 2006)</t>
  </si>
  <si>
    <t>§ 58.1-439.12:02</t>
  </si>
  <si>
    <t>Biodiesel and Green Diesel Fuels Producers Tax Credit</t>
  </si>
  <si>
    <t>2008 (effective 2008)</t>
  </si>
  <si>
    <t>4. The estate tax is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the estates of those individuals who have died on or after July 1, 2007.  In general, estates owing the tax have nine months to file the a return.  Therefore, the last returns applicable to the Estate Tax were due on March 30, 2008.  However, revenue from this tax may continue to be generated by delinquent filers or returns filed on extension.</t>
  </si>
  <si>
    <t>Code Section(s)</t>
  </si>
  <si>
    <t>Credit Claimed Against</t>
  </si>
  <si>
    <t>Number of Returns</t>
  </si>
  <si>
    <t>Individual and Corporate</t>
  </si>
  <si>
    <t>Individual Only</t>
  </si>
  <si>
    <t>Corporate Only</t>
  </si>
  <si>
    <t>7. The Aircraft Sales and Use Tax is imposed at 2 percent of the sales price.  All revenues from this tax are deposited in a special fund within the Commonwealth Transportation Fund for the administration of the aviation laws of the Commonwealth.</t>
  </si>
  <si>
    <t>Corn</t>
  </si>
  <si>
    <t>Small</t>
  </si>
  <si>
    <t xml:space="preserve">Forest </t>
  </si>
  <si>
    <t>Soft Drink</t>
  </si>
  <si>
    <t>Litter</t>
  </si>
  <si>
    <t>Grains</t>
  </si>
  <si>
    <t>8. The corn assessment is imposed at the rate of 1 cent per bushel.  All revenues from the tax are deposited into the Virginia Corn Fund.</t>
  </si>
  <si>
    <t>9. The cotton assessment is imposed at the rate of 85 cents per bale.  All revenues from the tax are deposited into the Virginia Cotton Fund. The assessment was initially imposed July 1, 1997.</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</si>
  <si>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</si>
  <si>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</si>
  <si>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</si>
  <si>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</si>
  <si>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</si>
  <si>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</si>
  <si>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 xml:space="preserve">5. Beginning September 1, 2004, the tax on cigarettes was imposed at a rate of 20 cents per pack of 20 cigarettes.  Effective July 1, 2005, this rate is increased to 30 cents per pack of 20 cigarettes.  All revenues from the Cigarette Tax are deposited into the Virginia Health Care Fund.  Effective April 1, 2009, the federal cigarette tax rate was increased by 61.66 cents.  Due to this tax increase, revenue generated by the Virginia cigarette tax declined. </t>
  </si>
  <si>
    <t>6. Beginning March 1, 2005, tobacco products other than cigarettes are taxed at 10 percent of the sales price charged by the wholesale dealer.  All revenues from this tax are deposited into the Virginia Health Care Fund.  Effective April 1, 2009, the federal tax rate on other tobacco products charged to manufacturers increased.  Since Virginia's tax is assessed at the wholesale level, the federal rate change increases the taxable base for Virginia's tax.</t>
  </si>
  <si>
    <t>Table 4.3</t>
  </si>
  <si>
    <t>Neighborhood Assistance Act Credit</t>
  </si>
  <si>
    <t>Historic Rehabilitation Tax Credit</t>
  </si>
  <si>
    <t>Table 4.4</t>
  </si>
  <si>
    <t>Table 5.1</t>
  </si>
  <si>
    <t>Table 5.2</t>
  </si>
  <si>
    <t>Table 5.2, continued</t>
  </si>
  <si>
    <t>VIRGINIA DEPARTMENT OF TAXATION</t>
  </si>
  <si>
    <t>Fiscal Year Individual and Corporate Income Tax Credits</t>
  </si>
  <si>
    <t>Directory</t>
  </si>
  <si>
    <t>Virginia Department of Taxation</t>
  </si>
  <si>
    <t xml:space="preserve">Main Street Centre        </t>
  </si>
  <si>
    <t xml:space="preserve">600 East Main Street                </t>
  </si>
  <si>
    <t>Richmond, VA 23219</t>
  </si>
  <si>
    <t>This and other economic and demographic data may be found</t>
  </si>
  <si>
    <t>on the University of Virginia's Weldon Cooper Center for</t>
  </si>
  <si>
    <t>Customer Service</t>
  </si>
  <si>
    <t>Public Service (CPS) website at</t>
  </si>
  <si>
    <t>http://www.virginia.edu/coopercenter/vastat, or contact Bill</t>
  </si>
  <si>
    <t>Shobe at (434) 982-5376 or by e-mail at shobe@virginia.edu.</t>
  </si>
  <si>
    <t>Richmond, VA 23230</t>
  </si>
  <si>
    <t xml:space="preserve">This report prepared by the </t>
  </si>
  <si>
    <t>General Mailing Address</t>
  </si>
  <si>
    <t>Office of Tax Policy, Policy Development Division</t>
  </si>
  <si>
    <t>P.O. Box 1880</t>
  </si>
  <si>
    <t>Richmond, VA 23218-1880</t>
  </si>
  <si>
    <t>Internet: http://www.tax.virginia.gov</t>
  </si>
  <si>
    <r>
      <t>Administration</t>
    </r>
    <r>
      <rPr>
        <sz val="11"/>
        <rFont val="Arial"/>
        <family val="2"/>
      </rPr>
      <t xml:space="preserve"> </t>
    </r>
  </si>
  <si>
    <t>ANNUAL REPORT</t>
  </si>
  <si>
    <t>Report of the Tax Commissioner</t>
  </si>
  <si>
    <t>to the Governor of the Commonwealth of Virginia</t>
  </si>
  <si>
    <t>The Honorable Robert F. McDonnell, Governor</t>
  </si>
  <si>
    <t>The Honorable Richard D. Brown, Secretary of Finance</t>
  </si>
  <si>
    <t>Craig M. Burns, Tax Commissioner</t>
  </si>
  <si>
    <t>Other Funds Revenues</t>
  </si>
  <si>
    <t>Apple</t>
  </si>
  <si>
    <t>1. As reported in these tables, individual income tax includes individual income tax, individual estimated income tax, fiduciary income tax, and employer income tax withholding.</t>
  </si>
  <si>
    <t>Cotton</t>
  </si>
  <si>
    <t>Sheep</t>
  </si>
  <si>
    <t>Yr/Yr</t>
  </si>
  <si>
    <t>% Chg</t>
  </si>
  <si>
    <t>Net Revenue Collections After Refunds by Tax Subject</t>
  </si>
  <si>
    <t>Taxes Administered by the Department of Taxation</t>
  </si>
  <si>
    <t>Revenues</t>
  </si>
  <si>
    <t>General Fund (GF) Revenues</t>
  </si>
  <si>
    <t>Bank franchise (state share)</t>
  </si>
  <si>
    <t>Estate (inheritance, gift, and estate)</t>
  </si>
  <si>
    <t>Recordation and deeds of conveyance</t>
  </si>
  <si>
    <t>Suits, wills and administration</t>
  </si>
  <si>
    <t>State sales, use, and vending (GF part)</t>
  </si>
  <si>
    <t>Watercraft sales and use</t>
  </si>
  <si>
    <t>Total Department GF Revenues</t>
  </si>
  <si>
    <t>Aircraft sales and use</t>
  </si>
  <si>
    <t>Cigarette Tax</t>
  </si>
  <si>
    <t>State Sales and Use Tax (TTF part)</t>
  </si>
  <si>
    <t>Other Tobacco Products</t>
  </si>
  <si>
    <t>Egg excise</t>
  </si>
  <si>
    <t>Forest products</t>
  </si>
  <si>
    <t>Peanut excise</t>
  </si>
  <si>
    <t>Soybeans</t>
  </si>
  <si>
    <t>Tire tax</t>
  </si>
  <si>
    <t>Corporation Income</t>
  </si>
  <si>
    <t>Sales tax on fuel</t>
  </si>
  <si>
    <t>Other</t>
  </si>
  <si>
    <t>Corn excise</t>
  </si>
  <si>
    <t>Small grains tax</t>
  </si>
  <si>
    <t>Litter tax</t>
  </si>
  <si>
    <t>Soft drink excise</t>
  </si>
  <si>
    <t>FY 2011</t>
  </si>
  <si>
    <t>Table 2.1</t>
  </si>
  <si>
    <t>Corporate Income Tax Revenue</t>
  </si>
  <si>
    <t>1. Revenue represents net tax collections by fiscal year.</t>
  </si>
  <si>
    <t>2. Source: The Commonwealth Accounting and Reporting System.</t>
  </si>
  <si>
    <t>Table 5.3</t>
  </si>
  <si>
    <t>Counties</t>
  </si>
  <si>
    <t>Cities</t>
  </si>
  <si>
    <t>Total equity capital value based on capital, surplus, and undivided profits</t>
  </si>
  <si>
    <t xml:space="preserve">Addition for Reserve for loan losses </t>
  </si>
  <si>
    <t>Other additions</t>
  </si>
  <si>
    <t>a. U.S. obligations</t>
  </si>
  <si>
    <t>b. Retained earnings and surplus of subsidiaries included in gross capital</t>
  </si>
  <si>
    <t>c. Goodwill</t>
  </si>
  <si>
    <t>d.Other deductions (total)</t>
  </si>
  <si>
    <t>Capital before Virginia Modifications</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</si>
  <si>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</si>
  <si>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</si>
  <si>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</si>
  <si>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</si>
  <si>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</si>
  <si>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</si>
  <si>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Enterprise Zone Credit</t>
  </si>
  <si>
    <t>Major Business Facility Job Tax Credit</t>
  </si>
  <si>
    <t>Worker Retraining Credit</t>
  </si>
  <si>
    <t>Low Income Housing Credit</t>
  </si>
  <si>
    <t>Total State Tax Assessment</t>
  </si>
  <si>
    <t>Table 5.4</t>
  </si>
  <si>
    <t>Bank Franchise Tax Net Revenue Collections</t>
  </si>
  <si>
    <t>Collections</t>
  </si>
  <si>
    <t>Table 1.1</t>
  </si>
  <si>
    <t>Individual Income Tax Liability</t>
  </si>
  <si>
    <t>Taxable Year</t>
  </si>
  <si>
    <t>1. Tax Liability is before any tax credits but after the spouse tax adjustment.</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</si>
  <si>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</si>
  <si>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</si>
  <si>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</si>
  <si>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</si>
  <si>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</si>
  <si>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</si>
  <si>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</si>
  <si>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</si>
  <si>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</si>
  <si>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</si>
  <si>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</si>
  <si>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</si>
  <si>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</si>
  <si>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</si>
  <si>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</si>
  <si>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</si>
  <si>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</si>
  <si>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</si>
  <si>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</si>
  <si>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</si>
  <si>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</si>
  <si>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Nonjoint</t>
  </si>
  <si>
    <t>Number of</t>
  </si>
  <si>
    <t>Returns</t>
  </si>
  <si>
    <t>Separate</t>
  </si>
  <si>
    <t>Table 1.2</t>
  </si>
  <si>
    <t>Virginia Adjusted Gross Income, Total Exemptions, Total Deductions, Total Taxable Income, Total Tax Liability, and Average Tax Rates</t>
  </si>
  <si>
    <t>Itemized</t>
  </si>
  <si>
    <t>Standard</t>
  </si>
  <si>
    <t>Average</t>
  </si>
  <si>
    <t>Total Adjusted</t>
  </si>
  <si>
    <t>Exemptions</t>
  </si>
  <si>
    <t>Deductions</t>
  </si>
  <si>
    <t xml:space="preserve">Deductions </t>
  </si>
  <si>
    <t>Total Taxable</t>
  </si>
  <si>
    <t>Total Tax</t>
  </si>
  <si>
    <t>Gross Income</t>
  </si>
  <si>
    <t>Claimed ($)</t>
  </si>
  <si>
    <t>Liability</t>
  </si>
  <si>
    <t>Rate</t>
  </si>
  <si>
    <t>1. The tax rate is 2% for taxable income of $3,000 or less; 3% for taxable income $3,001 to $5,000; 5% for income $5,001 to $17,000; and 5.75% for income over $17,000.</t>
  </si>
  <si>
    <t>2. Exemption and Deduction amounts for nonresidents include the full amount before the VA allocable portion is computed.</t>
  </si>
  <si>
    <t>3. Tax Liability is before any tax credits but after the spouse tax adjustment.</t>
  </si>
  <si>
    <t>4. Average tax rate is the total tax liability divided by the total taxable income.</t>
  </si>
  <si>
    <t>5. All revenue generated by the individual income tax is deposited to the General Fund.</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</si>
  <si>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</si>
  <si>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</si>
  <si>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</si>
  <si>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</si>
  <si>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</si>
  <si>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</si>
  <si>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</si>
  <si>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</si>
  <si>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</si>
  <si>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</si>
  <si>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</si>
  <si>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</si>
  <si>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</si>
  <si>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</si>
  <si>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</si>
  <si>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</si>
  <si>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</si>
  <si>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</si>
  <si>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</si>
  <si>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</si>
  <si>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</si>
  <si>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</si>
  <si>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</si>
  <si>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</si>
  <si>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</si>
  <si>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</si>
  <si>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</si>
  <si>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</si>
  <si>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</si>
  <si>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</si>
  <si>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</si>
  <si>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</si>
  <si>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</si>
  <si>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</si>
  <si>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</si>
  <si>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</si>
  <si>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</si>
  <si>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</si>
  <si>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</si>
  <si>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</si>
  <si>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</si>
  <si>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</si>
  <si>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</si>
  <si>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</si>
  <si>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</si>
  <si>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</si>
  <si>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</si>
  <si>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</si>
  <si>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</si>
  <si>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</si>
  <si>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</si>
  <si>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</si>
  <si>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</si>
  <si>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</si>
  <si>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</si>
  <si>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</si>
  <si>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</si>
  <si>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</si>
  <si>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</si>
  <si>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</si>
  <si>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</si>
  <si>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</si>
  <si>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</si>
  <si>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</si>
  <si>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</si>
  <si>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</si>
  <si>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</si>
  <si>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</si>
  <si>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</si>
  <si>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</si>
  <si>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</si>
  <si>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</si>
  <si>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</si>
  <si>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</si>
  <si>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</si>
  <si>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</si>
  <si>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</si>
  <si>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</si>
  <si>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</si>
  <si>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</si>
  <si>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</si>
  <si>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</si>
  <si>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</si>
  <si>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</si>
  <si>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</si>
  <si>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</si>
  <si>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</si>
  <si>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</si>
  <si>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</si>
  <si>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</si>
  <si>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</si>
  <si>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</si>
  <si>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</si>
  <si>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</si>
  <si>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</si>
  <si>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</si>
  <si>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</si>
  <si>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</si>
  <si>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</si>
  <si>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</si>
  <si>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</si>
  <si>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</si>
  <si>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</si>
  <si>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</si>
  <si>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</si>
  <si>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</si>
  <si>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</si>
  <si>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</si>
  <si>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</si>
  <si>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</si>
  <si>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</si>
  <si>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</si>
  <si>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</si>
  <si>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</si>
  <si>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</si>
  <si>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</si>
  <si>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</si>
  <si>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</si>
  <si>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</si>
  <si>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</si>
  <si>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</si>
  <si>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</si>
  <si>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</si>
  <si>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</si>
  <si>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</si>
  <si>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</si>
  <si>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</si>
  <si>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</si>
  <si>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</si>
  <si>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</si>
  <si>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</si>
  <si>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</si>
  <si>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</si>
  <si>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</si>
  <si>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</si>
  <si>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</si>
  <si>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</si>
  <si>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</si>
  <si>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</si>
  <si>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</si>
  <si>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</si>
  <si>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</si>
  <si>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</si>
  <si>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</si>
  <si>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</si>
  <si>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</si>
  <si>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</si>
  <si>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</si>
  <si>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</si>
  <si>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</si>
  <si>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</si>
  <si>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</si>
  <si>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</si>
  <si>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</si>
  <si>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</si>
  <si>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</si>
  <si>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</si>
  <si>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</si>
  <si>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</si>
  <si>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</si>
  <si>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</si>
  <si>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</si>
  <si>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</si>
  <si>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</si>
  <si>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</si>
  <si>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</si>
  <si>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</si>
  <si>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</si>
  <si>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</si>
  <si>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</si>
  <si>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</si>
  <si>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 xml:space="preserve">Stephens City </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</si>
  <si>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</si>
  <si>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</si>
  <si>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</si>
  <si>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</si>
  <si>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</si>
  <si>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</si>
  <si>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</si>
  <si>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</si>
  <si>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</si>
  <si>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</si>
  <si>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</si>
  <si>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</si>
  <si>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</si>
  <si>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</si>
  <si>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</si>
  <si>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</si>
  <si>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</si>
  <si>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</si>
  <si>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</si>
  <si>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</si>
  <si>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</si>
  <si>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</si>
  <si>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</si>
  <si>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</si>
  <si>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</si>
  <si>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</si>
  <si>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</si>
  <si>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</si>
  <si>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</si>
  <si>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</si>
  <si>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</si>
  <si>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</si>
  <si>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</si>
  <si>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</si>
  <si>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Brodnax</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</si>
  <si>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</si>
  <si>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</si>
  <si>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</si>
  <si>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</si>
  <si>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</si>
  <si>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</si>
  <si>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</si>
  <si>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</si>
  <si>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</si>
  <si>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</si>
  <si>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</si>
  <si>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</si>
  <si>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</si>
  <si>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</si>
  <si>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</si>
  <si>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</si>
  <si>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</si>
  <si>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</si>
  <si>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</si>
  <si>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</si>
  <si>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</si>
  <si>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</si>
  <si>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</si>
  <si>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</si>
  <si>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</si>
  <si>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</si>
  <si>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</si>
  <si>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</si>
  <si>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</si>
  <si>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</si>
  <si>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</si>
  <si>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</si>
  <si>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</si>
  <si>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</si>
  <si>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</si>
  <si>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</si>
  <si>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</si>
  <si>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</si>
  <si>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</si>
  <si>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</si>
  <si>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</si>
  <si>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</si>
  <si>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</si>
  <si>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</si>
  <si>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</si>
  <si>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</si>
  <si>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</si>
  <si>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</si>
  <si>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</si>
  <si>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</si>
  <si>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</si>
  <si>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</si>
  <si>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</si>
  <si>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</si>
  <si>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</si>
  <si>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</si>
  <si>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</si>
  <si>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</si>
  <si>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</si>
  <si>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</si>
  <si>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</si>
  <si>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</si>
  <si>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</si>
  <si>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</si>
  <si>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</si>
  <si>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</si>
  <si>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</si>
  <si>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</si>
  <si>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</si>
  <si>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</si>
  <si>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1. The Communications Sales Tax is imposed on the sale of communications services at a rate of 5%.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will be responsible for paying a communications use tax.</t>
  </si>
  <si>
    <t>Table 5.5</t>
  </si>
  <si>
    <t xml:space="preserve">Recordation Tax and Deeds of Conveyance Revenue Collections </t>
  </si>
  <si>
    <t>Table 5.5, continued</t>
  </si>
  <si>
    <t xml:space="preserve">Halifax   </t>
  </si>
  <si>
    <t xml:space="preserve">Virginia Beach </t>
  </si>
  <si>
    <r>
      <t xml:space="preserve">1. The Spotsylvania County Board of Supervisors voted to join the Potomac and Rappahannock Transportation Commission.  An agreement was executed between the County and the Commission using the process set forth in </t>
    </r>
    <r>
      <rPr>
        <i/>
        <sz val="9"/>
        <rFont val="Arial"/>
        <family val="2"/>
      </rPr>
      <t>Va. Code</t>
    </r>
    <r>
      <rPr>
        <sz val="9"/>
        <rFont val="Arial"/>
        <family val="2"/>
      </rPr>
      <t xml:space="preserve"> § 58.1-609.10.  Spotsylvania County was added to the Potomac and Rappahannock Transportation Commission on February 15, 2010.  </t>
    </r>
  </si>
  <si>
    <t>Table 1.5</t>
  </si>
  <si>
    <t>Virginia Adjusted Gross Income by Locality/Income Level</t>
  </si>
  <si>
    <t>Adjusted Gross Income:</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</si>
  <si>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</si>
  <si>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</si>
  <si>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</si>
  <si>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</si>
  <si>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</si>
  <si>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</si>
  <si>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</si>
  <si>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</si>
  <si>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</si>
  <si>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</si>
  <si>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</si>
  <si>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</si>
  <si>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</si>
  <si>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</si>
  <si>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</si>
  <si>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</si>
  <si>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</si>
  <si>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</si>
  <si>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</si>
  <si>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</si>
  <si>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</si>
  <si>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</si>
  <si>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</si>
  <si>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</si>
  <si>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</si>
  <si>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Total Exemptions, Total Deductions, and Number of Returns by Filing Status/Locality</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</si>
  <si>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</si>
  <si>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</si>
  <si>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</si>
  <si>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</si>
  <si>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</si>
  <si>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</si>
  <si>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</si>
  <si>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</si>
  <si>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</si>
  <si>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</si>
  <si>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</si>
  <si>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</si>
  <si>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</si>
  <si>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</si>
  <si>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</si>
  <si>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</si>
  <si>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</si>
  <si>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</si>
  <si>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1. Totals in Table 1.7 may not agree with totals in previous tables due to minor variations in tabulations.</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</si>
  <si>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</si>
  <si>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</si>
  <si>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</si>
  <si>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</si>
  <si>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</si>
  <si>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</si>
  <si>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</si>
  <si>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</si>
  <si>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</si>
  <si>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</si>
  <si>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</si>
  <si>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</si>
  <si>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</si>
  <si>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1. Set-Off Debt is a program that sets-off an overpayment amount on a taxpayer's return against accounts receivable due to an agency of the Commonwealth.</t>
  </si>
  <si>
    <t>Table 1.9</t>
  </si>
  <si>
    <t>Refund Match Totals</t>
  </si>
  <si>
    <t>Tax Year</t>
  </si>
  <si>
    <t>1. Refund Match is a program that automatically matches an overpayment amount on a taxpayer's return to any outstanding tax due amount the taxpayer has with the Department of Taxation, with the exception of fiduciary and estate tax accounts.</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</si>
  <si>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</si>
  <si>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</si>
  <si>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</si>
  <si>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</si>
  <si>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</si>
  <si>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</si>
  <si>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</si>
  <si>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</si>
  <si>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</si>
  <si>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</si>
  <si>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</si>
  <si>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United States Olympic Committee</t>
  </si>
  <si>
    <t>Community Policing Fund</t>
  </si>
  <si>
    <t>Virginia Arts Foundation</t>
  </si>
  <si>
    <t>Chesapeake Bay Restoration</t>
  </si>
  <si>
    <t>Historic Resources Fund</t>
  </si>
  <si>
    <t>Uninsured Medical Catastrophe Fund</t>
  </si>
  <si>
    <t>Children of America Finding Hope</t>
  </si>
  <si>
    <t>Public School Foundations</t>
  </si>
  <si>
    <t>Home Energy Assistance</t>
  </si>
  <si>
    <t>War Memorial &amp; National D-Day Memorial</t>
  </si>
  <si>
    <t>Spay and Neuter Fund</t>
  </si>
  <si>
    <t>Tuition Assistance Grant Fund</t>
  </si>
  <si>
    <t>Virginia Federation of Humane Societies</t>
  </si>
  <si>
    <t>Cancer Centers</t>
  </si>
  <si>
    <t>Martin Luther King, Jr. Living History Public Policy Center Fund</t>
  </si>
  <si>
    <t>Virginia Military Family Relief Fund</t>
  </si>
  <si>
    <t>Public Libraries Foundations</t>
  </si>
  <si>
    <t>Celebrating Special Children, Inc.</t>
  </si>
  <si>
    <t>1. Taxpayers may make voluntary contributions to qualifying organizations from their tax refunds or, for some organizations, tax payments.  If the contribution exceeds an expected refund, it increases the amount of the tax payment.</t>
  </si>
  <si>
    <t>* Contributions are voluntary and are limited to one per person (filing a separate return) or two check-offs for a married couple filing together. Section 58.1-344.3 B.3 of the Code of Virginia sets the limit at $25 per individual and at $25 for each spouse on a joint return.</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</si>
  <si>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</si>
  <si>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</si>
  <si>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</si>
  <si>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</si>
  <si>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</si>
  <si>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</si>
  <si>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</si>
  <si>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</si>
  <si>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</si>
  <si>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</si>
  <si>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</si>
  <si>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</si>
  <si>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</si>
  <si>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</si>
  <si>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</si>
  <si>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</si>
  <si>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</si>
  <si>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</si>
  <si>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</si>
  <si>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</si>
  <si>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</si>
  <si>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</si>
  <si>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</si>
  <si>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</si>
  <si>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</si>
  <si>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</si>
  <si>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</si>
  <si>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</si>
  <si>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</si>
  <si>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1. Due to database modifications needed to implement the Department's new accounting system, the business classification codes used in the past were eliminated during 2005.  The current classifications are based on NAICS codes.  Historic taxable sales cannot be converted to the new classification system.</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</si>
  <si>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</si>
  <si>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</si>
  <si>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4. Not all sales are subject to the retail sales tax.  Numerous sales are excluded or exempted.</t>
  </si>
  <si>
    <t>Table 6.2</t>
  </si>
  <si>
    <t>FMV Land</t>
  </si>
  <si>
    <t>FMV Taxable Land</t>
  </si>
  <si>
    <t>FMV Structures</t>
  </si>
  <si>
    <t>Total FMV</t>
  </si>
  <si>
    <t>Total Taxable FMV</t>
  </si>
  <si>
    <t>Local Levy</t>
  </si>
  <si>
    <t>Reporting Year</t>
  </si>
  <si>
    <t xml:space="preserve">Harrisonburg  </t>
  </si>
  <si>
    <t xml:space="preserve">Lexington  </t>
  </si>
  <si>
    <t xml:space="preserve">Manassas  </t>
  </si>
  <si>
    <t xml:space="preserve">Norton  </t>
  </si>
  <si>
    <t xml:space="preserve">Poquoson  </t>
  </si>
  <si>
    <t xml:space="preserve">Williamsburg  </t>
  </si>
  <si>
    <t>1. The data in this table are reported as certified by local Commissioners of the Revenue and Assessors.</t>
  </si>
  <si>
    <t>2. Levies shown do not include penalties and interest collected.</t>
  </si>
  <si>
    <t>3. Taxable fair market value is the total fair market of real estate minus the special assessment for land preservation (Code of Virginia, Section 58.1-3230).</t>
  </si>
  <si>
    <t>4. The taxable fair market value is equal to the total fair market value for localities which do not have a special assessment for land preservation.</t>
  </si>
  <si>
    <t>Taxes Lost</t>
  </si>
  <si>
    <t>Fair Market Value</t>
  </si>
  <si>
    <t>Fair Market Value Tax Exempt Real Estate</t>
  </si>
  <si>
    <t>(Real Estate and</t>
  </si>
  <si>
    <t>Tax Exempt to</t>
  </si>
  <si>
    <t>Due to</t>
  </si>
  <si>
    <t>Real Estate</t>
  </si>
  <si>
    <t>Government</t>
  </si>
  <si>
    <t>Non-Government</t>
  </si>
  <si>
    <t>Total Tax Exempt</t>
  </si>
  <si>
    <t>Tax Exempt)</t>
  </si>
  <si>
    <t>New Kent *</t>
  </si>
  <si>
    <t xml:space="preserve">Manassas Park  </t>
  </si>
  <si>
    <t>* Did not provide complete information on tax-exempt real estate.</t>
  </si>
  <si>
    <t>Table 6.3</t>
  </si>
  <si>
    <t>Table 6.3, continued</t>
  </si>
  <si>
    <t>Tangible Personal Property, Machinery and Tools, Merchants' Capital, and Public Service Corporations</t>
  </si>
  <si>
    <t>Tangible Personal Property</t>
  </si>
  <si>
    <t>Machinery and Tools</t>
  </si>
  <si>
    <t>Merchants' Capital</t>
  </si>
  <si>
    <t>Public Service Corporations</t>
  </si>
  <si>
    <t>Values</t>
  </si>
  <si>
    <t>Levies</t>
  </si>
  <si>
    <t>1. A local license tax may be imposed on gross receipts under the Code of Virginia, Section 58.1-3706.</t>
  </si>
  <si>
    <t>2. Data are based on information provided by the local Commissioners of the Revenue and Assessors.</t>
  </si>
  <si>
    <t>3. Tangible personal property includes motor vehicles, watercraft, aircraft, farm animals and machinery, business property, household goods, etc.</t>
  </si>
  <si>
    <t>4. Some localities exempt certain of these categories from taxation.</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</si>
  <si>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</si>
  <si>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</si>
  <si>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</si>
  <si>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Table 6.1</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</si>
  <si>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</si>
  <si>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</si>
  <si>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</si>
  <si>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</si>
  <si>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</si>
  <si>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</si>
  <si>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</si>
  <si>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</si>
  <si>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</si>
  <si>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</si>
  <si>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</si>
  <si>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</si>
  <si>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</si>
  <si>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</si>
  <si>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 Average Tax Rate is the aggregate levy for all counties and cities divided by the aggregate assessed value for all counties and cities.</t>
  </si>
  <si>
    <t>Table 6.2, continued</t>
  </si>
  <si>
    <t>Table 6.4</t>
  </si>
  <si>
    <t>Table 6.4, continued</t>
  </si>
  <si>
    <t>Table of Contents</t>
  </si>
  <si>
    <t xml:space="preserve">Net Revenue Collections and Expenditures                                                                </t>
  </si>
  <si>
    <t>Net Revenue Collections and Department of Taxation Expenditures ………………………………………………...……………………....………………….…………………………..……………………………..</t>
  </si>
  <si>
    <t>Net Revenue Collections After Refunds by Tax Subject ……………………………………...……………………....………………….…………………………..……………………………..</t>
  </si>
  <si>
    <t xml:space="preserve">Individual Income Tax Liability ……………………………………...……………………....………………….……………………………………………………………………….…………………..……………………………..                                                        </t>
  </si>
  <si>
    <t xml:space="preserve">Virginia Adjusted Gross Income, Total Exemptions, Total Taxable Income, Total Tax Liability, and Total Deductions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</si>
  <si>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</si>
  <si>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</si>
  <si>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</si>
  <si>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Exemptions, Total Deductions, and Number of Returns by Filing Status/Locality ……………………………………...……………………....………………….……………………………………………………………………….…………………..……………………………..                                                     </t>
  </si>
  <si>
    <t xml:space="preserve">Total Net Taxable Income, Amount Taxed at Each Tax Rate, Total Income Tax Liability by Locality ……………………………………...……………………....………………….……………………………………………………………………….…………………..……………………………..                                         </t>
  </si>
  <si>
    <t xml:space="preserve">Set-Off Debt Transferred to Agencies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</si>
  <si>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</si>
  <si>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</si>
  <si>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</si>
  <si>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</si>
  <si>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</si>
  <si>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</si>
  <si>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</si>
  <si>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Fiscal Year Individual and Corporate Income Tax Credits ……………………………………...……………………....………………….……………………………………………………………………….…………………..……………………………..     </t>
  </si>
  <si>
    <t xml:space="preserve">State and Local Retail Sales and Use Tax Net Revenue Collections ……………………………………...……………………....………………….……………………………………………………………………….…………………..……………………………..                 </t>
  </si>
  <si>
    <t>4.2</t>
  </si>
  <si>
    <t xml:space="preserve">Annual Taxable Sales by Category for the Commonwealth of Virginia by Calendar Year ……………………………………...……………………………………………...………                                            </t>
  </si>
  <si>
    <t>4.3</t>
  </si>
  <si>
    <t xml:space="preserve">Sales Tax Distribution by Locality ……………………………………...……………………....………………….……………………………………………………………………….…………………..……………………………..                 </t>
  </si>
  <si>
    <t>4.4</t>
  </si>
  <si>
    <t xml:space="preserve">Virginia Motor Fuel Sales Tax Revenue Collections by Locality ……………………………………...……………………....………………….……………………………………………………………………….…………………..……………………………..                 </t>
  </si>
  <si>
    <t>Other State Taxes</t>
  </si>
  <si>
    <t xml:space="preserve">Other Taxes Net Revenue Collections - General Fund ……………………………………...……………………....………………….……………………………………………………………………….…………………..……………………………..                 </t>
  </si>
  <si>
    <t xml:space="preserve">Other Taxes Net Revenue Collections - Special Funds ……………………………………...……………………....………………….……………………………………………………………………….…………………..……………………………..                 </t>
  </si>
  <si>
    <t>5.3</t>
  </si>
  <si>
    <t xml:space="preserve">Bank Franchise Tax Assessment Statement ……………………………………...……………………....………………….……………………………………………………………………….…………………..……………………………..                                                                         </t>
  </si>
  <si>
    <t>5.4</t>
  </si>
  <si>
    <t xml:space="preserve">Bank Franchise Tax Net Revenue Collections ……………………………………...……………………....………………….……………………………………………………………………….…………………..……………………………..                 </t>
  </si>
  <si>
    <t>5.5</t>
  </si>
  <si>
    <t xml:space="preserve">Recordation Tax and Deeds of Conveyance Revenue Collections by Locality ……………………………………...……………………....………………….……………………………………………………………………….…………………..……………………………..                 </t>
  </si>
  <si>
    <t>5.6</t>
  </si>
  <si>
    <t xml:space="preserve">Communications Sales Tax Distributions ……………………………………...……………………....………………….……………………………………………………………………….…………………..……………………………..                                                                   </t>
  </si>
  <si>
    <t>Local Property Taxes</t>
  </si>
  <si>
    <t xml:space="preserve">Assessed Values, Levies Assessed, and Average Tax Rates ……………………………………...……………………....………………….……………………………………………………………………….…………………..……………………………..                                                                   </t>
  </si>
  <si>
    <t xml:space="preserve">Real Estate Fair Market Value (FMV), Fair Market Value (Taxable), Local Levy by Locality ……………………………………...……………………....………………….……………………………………………………………………….…………………..……………………………..                                        </t>
  </si>
  <si>
    <t xml:space="preserve">Comparison of Tax Exempt Value to Total Fair Market Value (FMV) of Real Estate by Locality ……………………………………...……………………....………………….……………………………………………………………………….…………………..……………………………..                                          </t>
  </si>
  <si>
    <t xml:space="preserve">Tangible Personal Property, Machinery and Tools, Merchants' Capital, and Public Service Corporations by Locality ……………………………………...……………………....………………….……………………………………………………………………….…………………..……………………………..                             </t>
  </si>
  <si>
    <t>1957 Westmoreland Street</t>
  </si>
  <si>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</si>
  <si>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</si>
  <si>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</si>
  <si>
    <t>5.  Some credits may be claimed against taxes in addition to income taxes; amounts in table are for only individual and corporate income tax.</t>
  </si>
  <si>
    <t>§ 58.1-439.12:05</t>
  </si>
  <si>
    <t>Green Job Creation Tax Credit</t>
  </si>
  <si>
    <t>2010 (effective 2010)</t>
  </si>
  <si>
    <t>§ 58.1-439.12:04</t>
  </si>
  <si>
    <t>Tax Credit for Participating Landlords (Community of Opportunity)</t>
  </si>
  <si>
    <t>Rolling Stock Tax</t>
  </si>
  <si>
    <t>State Forests Fund</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</si>
  <si>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The figures stated above are net of refunds. </t>
  </si>
  <si>
    <t>By the Commonwealth of Virginia*</t>
  </si>
  <si>
    <t>By the Department of Taxation**</t>
  </si>
  <si>
    <t>** Includes all taxes administered by the Department of Taxation.</t>
  </si>
  <si>
    <t>* Source: the Commonwealth Accounting and Reporting System, Net Revenue Fund Report</t>
  </si>
  <si>
    <t>FISCAL YEAR 2012</t>
  </si>
  <si>
    <t>FY 2012</t>
  </si>
  <si>
    <t>2012/2011</t>
  </si>
  <si>
    <t>Taxable Year 2010</t>
  </si>
  <si>
    <t>Communications Sales Tax Distributions, Fiscal Year 2012</t>
  </si>
  <si>
    <t>Returns Processed During Fiscal Year 2012</t>
  </si>
  <si>
    <t>Local Sales Tax Distribution - Fiscal Year 2012</t>
  </si>
  <si>
    <t>Bank Franchise Tax Assessment Tax Statement - Fiscal Year 2012</t>
  </si>
  <si>
    <t>Real Estate Fair Market Value (FMV), Fair Market Value (Taxable), and Local Levy by Locality - Tax Year 2011</t>
  </si>
  <si>
    <t>Comparison of Tax Exempt Value to Total Fair Market Value (FMV) of Real Estate by Locality - Tax Year 2011</t>
  </si>
  <si>
    <t>Assessed Values and Levies by Locality - Tax Year 2011</t>
  </si>
  <si>
    <t>2. The distributions for FY 2012 were based on collections for May 2011 through April 2012.</t>
  </si>
  <si>
    <t>*</t>
  </si>
  <si>
    <t>§ 58.1-339.12</t>
  </si>
  <si>
    <t>Farm Wineries and Vineyards Tax Credit</t>
  </si>
  <si>
    <t>2011 (effective 2011)</t>
  </si>
  <si>
    <t>§ 58.1-439.12:03</t>
  </si>
  <si>
    <t>Motion Picture Production Tax Credit (refundable)</t>
  </si>
  <si>
    <t>§ 58.1-439.12:06</t>
  </si>
  <si>
    <t>International Trade Facility Tax Credit</t>
  </si>
  <si>
    <t>§ 58.1-439.12:08</t>
  </si>
  <si>
    <t>Research and Development Expenses Tax Credit (refundable)</t>
  </si>
  <si>
    <t>§ 58.1-439.12:09</t>
  </si>
  <si>
    <t>Barge and Rail Usage Tax Credit</t>
  </si>
  <si>
    <t>§ 58.1-439.12:10</t>
  </si>
  <si>
    <t>Virginia Port Volume Increase Tax Credit</t>
  </si>
  <si>
    <t xml:space="preserve">1.  Number of returns and amounts are for income tax returns processed during FY 2012, regardless of taxable year.  For most credits, returns for multiple taxable years were processed during the fiscal year.  The total for each return may include carryovers from prior years.   </t>
  </si>
  <si>
    <t>* Data for this credit is not available for release because fewer than four returns claiming the credit have been processed in FY 2012.</t>
  </si>
  <si>
    <t xml:space="preserve">9. Effective beginning FY 2010, dealers with annual taxable sales of $1 million or more were required to make a June payment equal to 90 percent of their sales and use tax liability for the previous June. In FY 2012, this requirement added $153.4 million to general fund revenue.  For the payment due June 2012, the threshold increased to $26 million of annual taxable sales.  </t>
  </si>
  <si>
    <t>2011 - 2012</t>
  </si>
  <si>
    <t>FY 2011 expenditures on behalf of SLEAC were $73,358.  FY 2012 expenditures were $103,080.</t>
  </si>
  <si>
    <t>Nonprofit Exemption Annual Report</t>
  </si>
  <si>
    <t xml:space="preserve">Nonprofit Exemption Annual Report……………………………………...……………………....………………….……………………………………………………………………….…………………..……………………………..    </t>
  </si>
  <si>
    <t>6,905,,855.00</t>
  </si>
  <si>
    <t>2. Contributions are reported by processing done in a calendar year.  For example, contributions reported for Taxable Year 2010 are from all returns processed in calendar year 2011.  The majority of returns processed in 2011 are for TY 2010; however, some returns from previous years are included.</t>
  </si>
  <si>
    <t>Table 7.1</t>
  </si>
  <si>
    <t>Nonprofit Organization Tax Exemption Annual Report</t>
  </si>
  <si>
    <r>
      <t xml:space="preserve"># </t>
    </r>
    <r>
      <rPr>
        <sz val="10"/>
        <rFont val="Arial"/>
        <family val="2"/>
      </rPr>
      <t>These organizations were removed from the Tax Year 2009 return. Amounts reported for Tax Years 2009 and 2010 represent contributions made on returns filed for prior years processed in 2010 and 2011, respectively.</t>
    </r>
  </si>
  <si>
    <t>Virginia Office of Commonwealth Preparedness^</t>
  </si>
  <si>
    <t>Jamestown-Yorktown Foundation^</t>
  </si>
  <si>
    <r>
      <t>Brown vs. The Board of Education Scholarship Fund</t>
    </r>
    <r>
      <rPr>
        <vertAlign val="superscript"/>
        <sz val="10"/>
        <color indexed="8"/>
        <rFont val="Arial"/>
        <family val="2"/>
      </rPr>
      <t>#</t>
    </r>
  </si>
  <si>
    <r>
      <t>Virginia Caregivers Grant Fund</t>
    </r>
    <r>
      <rPr>
        <vertAlign val="superscript"/>
        <sz val="10"/>
        <color indexed="8"/>
        <rFont val="Arial"/>
        <family val="2"/>
      </rPr>
      <t>#</t>
    </r>
  </si>
  <si>
    <t>**</t>
  </si>
  <si>
    <t>Mathews *</t>
  </si>
  <si>
    <t>Fiscal Year 2012</t>
  </si>
  <si>
    <t>Based on corporate tax returns filed for Taxable Year 2010*</t>
  </si>
  <si>
    <t>* This table is not comparable to equivalent tables in annual reports prior to FY 2006.  Returns are selected for inclusion on this table if the tax reporting period on the return began in 2010.  Reports prior to FY 2006 selected returns based on the state fiscal year in which they were received.</t>
  </si>
  <si>
    <t>** Data for this program is not available for release because fewer than four taxpayers contributing to this fund have been processed in 2011.</t>
  </si>
  <si>
    <t>1. The sales and use tax on aircraft and on watercraft are reported separately in Tables 5.1 and 5.2, respectively.</t>
  </si>
  <si>
    <t xml:space="preserve">* Personal property tax data was not available for Tax Year 2011 for this locality.  </t>
  </si>
  <si>
    <t>† Pass-through entities (e.g., Subchapter S corporations, partnerships, limited liability companies, etc.) file Form 502.  They report all taxable income on individual returns.  They are reported on this table as having no taxable income for purposes of the corporate income tax.</t>
  </si>
  <si>
    <t>Amount ($)</t>
  </si>
  <si>
    <t>State and Local Retail Sales &amp; Use  
Tax Expenditure Resulting From Purchases 
Made by Nonprofit Organizations</t>
  </si>
  <si>
    <t>3. The peanut excise tax was imposed at the rate of 15 cents per 100 pounds.  Effective July 1, 2010, the peanut excise tax is imposed at the rate of 30 cents per 100 pounds.  All revenues are deposited into the Peanut Fund.</t>
  </si>
  <si>
    <t xml:space="preserve">3. In Fiscal Year 2011, The Department of Taxation distributed money to the Town of Chatham that should have been distributed to Fairfax County.  Therefore, Chatham’s distribution was overstated and Fairfax County’s distribution was understated for Fiscal Year 2011.    </t>
  </si>
  <si>
    <r>
      <rPr>
        <sz val="10"/>
        <rFont val="Arial"/>
        <family val="2"/>
      </rPr>
      <t>^</t>
    </r>
    <r>
      <rPr>
        <vertAlign val="superscript"/>
        <sz val="10"/>
        <rFont val="Arial"/>
        <family val="2"/>
      </rPr>
      <t xml:space="preserve"> </t>
    </r>
    <r>
      <rPr>
        <sz val="10"/>
        <rFont val="Arial"/>
        <family val="2"/>
      </rPr>
      <t>These organization were removed from the Tax Year 2008 return. Amounts reported for Tax Years 2008, 2009 and 2010 represent contributions made on returns filed for prior years processed in 2009, 2010 and 2011, respectively.</t>
    </r>
  </si>
  <si>
    <t>*2007</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</si>
  <si>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</si>
  <si>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 xml:space="preserve">*Legislation enacted in the 2003 Session of the General Assembly simplified the process for nonprofit organizations to qualify for a sales and use tax exemption.  Prior to this law change, nonprofit entities needed to obtain legislation granting them an exemption from the General Assembly, unless they qualified under an existing exemption.  The Department’s estimate of the total annual state and local sales and use tax revenue impact of the nonprofit entity exemption is based on the amounts of exempt purchases reported to the Department by nonprofit entities on their applications for a new or renewed exemption under Va. Code § 58.1-609.11.  As many medical related nonprofit organizations enjoyed a grandfathered exemption under Va. Code § 58.1-609.7 until July 1, 2008, the fiscal year 2007 estimate is understated.  It does not include the estimated purchases of such organizations that did not apply for a new exemption under 58.1-609.11 prior to July 1, 2007.     </t>
  </si>
  <si>
    <t>2. Tax Liability is before any tax credits but after the spouse tax adjustment.</t>
  </si>
</sst>
</file>

<file path=xl/styles.xml><?xml version="1.0" encoding="utf-8"?>
<styleSheet xmlns="http://schemas.openxmlformats.org/spreadsheetml/2006/main">
  <numFmts count="24">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numFmt numFmtId="177" formatCode="0.00\ %"/>
    <numFmt numFmtId="178" formatCode="General_)"/>
    <numFmt numFmtId="179" formatCode="0.000%"/>
    <numFmt numFmtId="180" formatCode="_(* #,##0_);_(* \(#,##0\);_(* &quot;-&quot;??_);_(@_)"/>
    <numFmt numFmtId="181" formatCode="_(&quot;$&quot;* #,##0_);_(&quot;$&quot;* \(#,##0\);_(&quot;$&quot;* &quot;-&quot;??_);_(@_)"/>
  </numFmts>
  <fonts count="87">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vertAlign val="superscript"/>
      <sz val="10"/>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i/>
      <sz val="9"/>
      <name val="Arial"/>
      <family val="2"/>
    </font>
    <font>
      <sz val="10"/>
      <color indexed="9"/>
      <name val="Arial"/>
      <family val="2"/>
    </font>
    <font>
      <sz val="9"/>
      <color indexed="9"/>
      <name val="Arial"/>
      <family val="2"/>
    </font>
    <font>
      <sz val="9"/>
      <name val="Bookman Old Style"/>
      <family val="1"/>
    </font>
    <font>
      <vertAlign val="superscript"/>
      <sz val="10"/>
      <name val="Arial"/>
      <family val="2"/>
    </font>
    <font>
      <b/>
      <sz val="12"/>
      <name val="Arial "/>
    </font>
    <font>
      <b/>
      <sz val="10"/>
      <name val="Arial "/>
    </font>
    <font>
      <b/>
      <u/>
      <sz val="9"/>
      <name val="Arial"/>
      <family val="2"/>
    </font>
    <font>
      <b/>
      <sz val="12"/>
      <color indexed="9"/>
      <name val="Arial"/>
      <family val="2"/>
    </font>
    <font>
      <sz val="12"/>
      <color indexed="9"/>
      <name val="COUR"/>
    </font>
    <font>
      <vertAlign val="superscript"/>
      <sz val="10"/>
      <color indexed="8"/>
      <name val="Arial"/>
      <family val="2"/>
    </font>
    <font>
      <sz val="11"/>
      <color theme="1"/>
      <name val="Calibri"/>
      <family val="2"/>
      <scheme val="minor"/>
    </font>
    <font>
      <sz val="10"/>
      <color theme="0"/>
      <name val="Arial"/>
      <family val="2"/>
    </font>
    <font>
      <sz val="12"/>
      <color theme="0"/>
      <name val="Arial"/>
      <family val="2"/>
    </font>
    <font>
      <sz val="12"/>
      <color theme="0"/>
      <name val="COUR"/>
    </font>
    <font>
      <b/>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s>
  <fills count="37">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7">
    <xf numFmtId="0" fontId="0" fillId="0" borderId="0"/>
    <xf numFmtId="43" fontId="45" fillId="0" borderId="0" applyFont="0" applyFill="0" applyBorder="0" applyAlignment="0" applyProtection="0"/>
    <xf numFmtId="43" fontId="61"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5" fillId="0" borderId="0" applyFont="0" applyFill="0" applyBorder="0" applyAlignment="0" applyProtection="0"/>
    <xf numFmtId="44" fontId="12" fillId="0" borderId="0" applyFont="0" applyFill="0" applyBorder="0" applyProtection="0"/>
    <xf numFmtId="0" fontId="61"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5" fillId="0" borderId="0"/>
    <xf numFmtId="0" fontId="45" fillId="0" borderId="0"/>
    <xf numFmtId="0" fontId="19" fillId="0" borderId="0"/>
    <xf numFmtId="0" fontId="19" fillId="0" borderId="0"/>
    <xf numFmtId="0" fontId="3" fillId="0" borderId="0"/>
    <xf numFmtId="0" fontId="45" fillId="0" borderId="0"/>
    <xf numFmtId="0" fontId="8" fillId="0" borderId="0"/>
    <xf numFmtId="0" fontId="12" fillId="0" borderId="0"/>
    <xf numFmtId="0" fontId="19" fillId="0" borderId="0"/>
    <xf numFmtId="0" fontId="45" fillId="0" borderId="0"/>
    <xf numFmtId="0" fontId="45" fillId="0" borderId="0"/>
    <xf numFmtId="178" fontId="49" fillId="0" borderId="0"/>
    <xf numFmtId="0" fontId="12" fillId="0" borderId="0"/>
    <xf numFmtId="0" fontId="12" fillId="0" borderId="0"/>
    <xf numFmtId="0" fontId="45" fillId="0" borderId="0"/>
    <xf numFmtId="0" fontId="12" fillId="0" borderId="0"/>
    <xf numFmtId="9" fontId="2" fillId="0" borderId="0" applyFont="0" applyFill="0" applyBorder="0" applyAlignment="0" applyProtection="0"/>
    <xf numFmtId="9" fontId="45" fillId="0" borderId="0" applyFont="0" applyFill="0" applyBorder="0" applyAlignment="0" applyProtection="0"/>
    <xf numFmtId="9" fontId="12" fillId="0" borderId="0" applyFont="0" applyFill="0" applyBorder="0" applyAlignment="0" applyProtection="0"/>
    <xf numFmtId="9" fontId="61" fillId="0" borderId="0" applyFont="0" applyFill="0" applyBorder="0" applyAlignment="0" applyProtection="0"/>
    <xf numFmtId="0" fontId="2" fillId="0" borderId="0"/>
    <xf numFmtId="0" fontId="2" fillId="0" borderId="0"/>
    <xf numFmtId="43" fontId="68" fillId="0" borderId="0" applyFont="0" applyFill="0" applyBorder="0" applyAlignment="0" applyProtection="0"/>
    <xf numFmtId="0" fontId="69" fillId="0" borderId="0" applyNumberFormat="0" applyFill="0" applyBorder="0" applyAlignment="0" applyProtection="0"/>
    <xf numFmtId="0" fontId="70" fillId="0" borderId="31" applyNumberFormat="0" applyFill="0" applyAlignment="0" applyProtection="0"/>
    <xf numFmtId="0" fontId="71" fillId="0" borderId="32" applyNumberFormat="0" applyFill="0" applyAlignment="0" applyProtection="0"/>
    <xf numFmtId="0" fontId="72" fillId="0" borderId="33" applyNumberFormat="0" applyFill="0" applyAlignment="0" applyProtection="0"/>
    <xf numFmtId="0" fontId="72" fillId="0" borderId="0" applyNumberFormat="0" applyFill="0" applyBorder="0" applyAlignment="0" applyProtection="0"/>
    <xf numFmtId="0" fontId="73" fillId="6" borderId="0" applyNumberFormat="0" applyBorder="0" applyAlignment="0" applyProtection="0"/>
    <xf numFmtId="0" fontId="74" fillId="7" borderId="0" applyNumberFormat="0" applyBorder="0" applyAlignment="0" applyProtection="0"/>
    <xf numFmtId="0" fontId="75" fillId="8" borderId="0" applyNumberFormat="0" applyBorder="0" applyAlignment="0" applyProtection="0"/>
    <xf numFmtId="0" fontId="76" fillId="9" borderId="34" applyNumberFormat="0" applyAlignment="0" applyProtection="0"/>
    <xf numFmtId="0" fontId="77" fillId="10" borderId="35" applyNumberFormat="0" applyAlignment="0" applyProtection="0"/>
    <xf numFmtId="0" fontId="78" fillId="10" borderId="34" applyNumberFormat="0" applyAlignment="0" applyProtection="0"/>
    <xf numFmtId="0" fontId="79" fillId="0" borderId="36" applyNumberFormat="0" applyFill="0" applyAlignment="0" applyProtection="0"/>
    <xf numFmtId="0" fontId="80" fillId="11" borderId="37" applyNumberFormat="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39" applyNumberFormat="0" applyFill="0" applyAlignment="0" applyProtection="0"/>
    <xf numFmtId="0" fontId="8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84" fillId="16" borderId="0" applyNumberFormat="0" applyBorder="0" applyAlignment="0" applyProtection="0"/>
    <xf numFmtId="0" fontId="8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84" fillId="20" borderId="0" applyNumberFormat="0" applyBorder="0" applyAlignment="0" applyProtection="0"/>
    <xf numFmtId="0" fontId="8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84" fillId="24" borderId="0" applyNumberFormat="0" applyBorder="0" applyAlignment="0" applyProtection="0"/>
    <xf numFmtId="0" fontId="8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84" fillId="28" borderId="0" applyNumberFormat="0" applyBorder="0" applyAlignment="0" applyProtection="0"/>
    <xf numFmtId="0" fontId="8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84" fillId="32" borderId="0" applyNumberFormat="0" applyBorder="0" applyAlignment="0" applyProtection="0"/>
    <xf numFmtId="0" fontId="8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84"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cellStyleXfs>
  <cellXfs count="1094">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4"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10" fontId="3" fillId="0" borderId="0" xfId="0" applyNumberFormat="1" applyFont="1" applyAlignment="1">
      <alignment horizontal="right"/>
    </xf>
    <xf numFmtId="2" fontId="2" fillId="0" borderId="0" xfId="0" applyNumberFormat="1" applyFont="1" applyAlignment="1">
      <alignment horizontal="center"/>
    </xf>
    <xf numFmtId="168" fontId="2" fillId="0" borderId="0" xfId="0" applyNumberFormat="1" applyFont="1" applyAlignment="1">
      <alignment horizontal="right"/>
    </xf>
    <xf numFmtId="0" fontId="0" fillId="0" borderId="0" xfId="0" applyBorder="1"/>
    <xf numFmtId="3" fontId="3" fillId="0" borderId="0" xfId="0" applyNumberFormat="1" applyFont="1" applyAlignment="1">
      <alignment horizontal="right"/>
    </xf>
    <xf numFmtId="10" fontId="3" fillId="0" borderId="1" xfId="0" applyNumberFormat="1" applyFont="1" applyBorder="1" applyAlignment="1">
      <alignment horizontal="right"/>
    </xf>
    <xf numFmtId="10" fontId="3" fillId="0" borderId="0" xfId="0" applyNumberFormat="1" applyFont="1" applyBorder="1" applyAlignment="1">
      <alignment horizontal="right"/>
    </xf>
    <xf numFmtId="0" fontId="6" fillId="0" borderId="2" xfId="0" applyFont="1" applyBorder="1"/>
    <xf numFmtId="167" fontId="6" fillId="0" borderId="2" xfId="0" applyNumberFormat="1" applyFont="1" applyBorder="1"/>
    <xf numFmtId="0" fontId="0" fillId="0" borderId="2" xfId="0" applyBorder="1"/>
    <xf numFmtId="10" fontId="6" fillId="0" borderId="0" xfId="0" applyNumberFormat="1" applyFont="1" applyBorder="1" applyAlignment="1">
      <alignment horizontal="right"/>
    </xf>
    <xf numFmtId="168" fontId="14" fillId="0" borderId="0" xfId="0" applyNumberFormat="1" applyFont="1" applyAlignment="1"/>
    <xf numFmtId="164" fontId="3" fillId="0" borderId="0" xfId="0" applyNumberFormat="1" applyFont="1" applyBorder="1" applyAlignment="1">
      <alignment horizontal="right"/>
    </xf>
    <xf numFmtId="10" fontId="3" fillId="0" borderId="3" xfId="0" applyNumberFormat="1" applyFont="1" applyBorder="1" applyAlignment="1">
      <alignment horizontal="right"/>
    </xf>
    <xf numFmtId="10" fontId="2" fillId="0" borderId="0" xfId="0" applyNumberFormat="1" applyFont="1" applyAlignment="1">
      <alignment horizontal="center"/>
    </xf>
    <xf numFmtId="168" fontId="2" fillId="0" borderId="0" xfId="0" applyNumberFormat="1" applyFont="1" applyAlignment="1"/>
    <xf numFmtId="10" fontId="3" fillId="0" borderId="4" xfId="0" applyNumberFormat="1" applyFont="1" applyBorder="1" applyAlignment="1">
      <alignment horizontal="right"/>
    </xf>
    <xf numFmtId="164" fontId="14" fillId="0" borderId="0" xfId="0" applyNumberFormat="1" applyFont="1" applyAlignment="1"/>
    <xf numFmtId="3" fontId="14" fillId="0" borderId="0" xfId="0" applyNumberFormat="1" applyFont="1" applyAlignment="1"/>
    <xf numFmtId="10" fontId="6" fillId="0" borderId="5" xfId="0" applyNumberFormat="1" applyFont="1" applyBorder="1" applyAlignment="1">
      <alignment horizontal="right"/>
    </xf>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2" fontId="14"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65" fontId="3"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6" fillId="2" borderId="0" xfId="0" applyNumberFormat="1" applyFont="1" applyFill="1" applyAlignment="1">
      <alignment horizontal="center"/>
    </xf>
    <xf numFmtId="0" fontId="17" fillId="0" borderId="0" xfId="0" applyNumberFormat="1" applyFont="1" applyAlignment="1">
      <alignment horizontal="center"/>
    </xf>
    <xf numFmtId="0" fontId="17" fillId="0" borderId="0" xfId="0" applyNumberFormat="1" applyFont="1" applyAlignment="1"/>
    <xf numFmtId="0" fontId="18" fillId="3" borderId="0" xfId="0" applyNumberFormat="1" applyFont="1" applyFill="1" applyAlignment="1">
      <alignment horizontal="left"/>
    </xf>
    <xf numFmtId="164" fontId="2" fillId="0" borderId="0" xfId="0" applyNumberFormat="1" applyFont="1" applyAlignment="1">
      <alignment horizontal="right"/>
    </xf>
    <xf numFmtId="0" fontId="22" fillId="0" borderId="0" xfId="14" applyFont="1" applyProtection="1"/>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quotePrefix="1" applyNumberFormat="1" applyFont="1" applyBorder="1" applyAlignment="1" applyProtection="1">
      <alignment horizontal="right"/>
    </xf>
    <xf numFmtId="37" fontId="24" fillId="0" borderId="7" xfId="14" applyNumberFormat="1" applyFont="1" applyBorder="1" applyAlignment="1" applyProtection="1">
      <alignment horizontal="center"/>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0" fontId="25" fillId="0" borderId="0" xfId="14" applyFont="1" applyBorder="1" applyAlignment="1" applyProtection="1">
      <alignment horizontal="left"/>
    </xf>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22" fillId="0" borderId="0" xfId="16" applyFont="1"/>
    <xf numFmtId="0" fontId="3" fillId="0" borderId="0" xfId="16"/>
    <xf numFmtId="0" fontId="6" fillId="0" borderId="0" xfId="16" applyFont="1"/>
    <xf numFmtId="0" fontId="8" fillId="0" borderId="9" xfId="16" applyFont="1" applyBorder="1"/>
    <xf numFmtId="0" fontId="8" fillId="0" borderId="0" xfId="16" applyFont="1"/>
    <xf numFmtId="0" fontId="12" fillId="0" borderId="0" xfId="16" applyFont="1"/>
    <xf numFmtId="0" fontId="12" fillId="0" borderId="0" xfId="16" applyFont="1" applyProtection="1"/>
    <xf numFmtId="0" fontId="31" fillId="0" borderId="0" xfId="16" applyFont="1" applyAlignment="1">
      <alignment horizontal="center"/>
    </xf>
    <xf numFmtId="0" fontId="12" fillId="4" borderId="0" xfId="16" applyFont="1" applyFill="1"/>
    <xf numFmtId="0" fontId="24" fillId="4" borderId="0" xfId="16" applyFont="1" applyFill="1" applyAlignment="1">
      <alignment horizontal="center"/>
    </xf>
    <xf numFmtId="0" fontId="27" fillId="3" borderId="0" xfId="16" applyFont="1" applyFill="1" applyAlignment="1" applyProtection="1">
      <alignment horizontal="center"/>
    </xf>
    <xf numFmtId="0" fontId="24" fillId="3" borderId="0" xfId="16" applyFont="1" applyFill="1" applyAlignment="1">
      <alignment horizontal="center"/>
    </xf>
    <xf numFmtId="5" fontId="27" fillId="3" borderId="0" xfId="16" applyNumberFormat="1" applyFont="1" applyFill="1" applyAlignment="1" applyProtection="1">
      <alignment horizontal="center"/>
    </xf>
    <xf numFmtId="0" fontId="24" fillId="0" borderId="0" xfId="16" applyFont="1" applyAlignment="1">
      <alignment horizontal="center"/>
    </xf>
    <xf numFmtId="0" fontId="27" fillId="3" borderId="9" xfId="16" applyFont="1" applyFill="1" applyBorder="1" applyAlignment="1" applyProtection="1">
      <alignment horizontal="center"/>
    </xf>
    <xf numFmtId="0" fontId="27" fillId="3" borderId="9" xfId="16" applyFont="1" applyFill="1" applyBorder="1" applyAlignment="1">
      <alignment horizontal="center"/>
    </xf>
    <xf numFmtId="0" fontId="24" fillId="0" borderId="9" xfId="16" applyFont="1" applyBorder="1" applyAlignment="1">
      <alignment horizontal="center"/>
    </xf>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5" fontId="12" fillId="0" borderId="0" xfId="16" applyNumberFormat="1" applyFont="1" applyAlignment="1" applyProtection="1">
      <alignment horizontal="center"/>
    </xf>
    <xf numFmtId="7" fontId="32" fillId="0" borderId="0" xfId="16" applyNumberFormat="1" applyFont="1" applyFill="1"/>
    <xf numFmtId="7" fontId="8" fillId="0" borderId="0" xfId="16" applyNumberFormat="1" applyFont="1"/>
    <xf numFmtId="10" fontId="8" fillId="0" borderId="0" xfId="36" applyNumberFormat="1" applyFont="1"/>
    <xf numFmtId="0" fontId="8" fillId="0" borderId="0" xfId="16" applyFont="1" applyAlignment="1" applyProtection="1">
      <alignment horizontal="center"/>
    </xf>
    <xf numFmtId="37" fontId="8" fillId="0" borderId="0" xfId="16" applyNumberFormat="1" applyFont="1" applyProtection="1"/>
    <xf numFmtId="0" fontId="8" fillId="0" borderId="0" xfId="16" applyFont="1" applyFill="1"/>
    <xf numFmtId="0" fontId="23" fillId="0" borderId="0" xfId="16" applyFont="1" applyAlignment="1" applyProtection="1">
      <alignment horizontal="left"/>
    </xf>
    <xf numFmtId="37" fontId="23" fillId="0" borderId="0" xfId="16" applyNumberFormat="1" applyFont="1" applyProtection="1"/>
    <xf numFmtId="0" fontId="23" fillId="0" borderId="0" xfId="16" applyFont="1"/>
    <xf numFmtId="0" fontId="33" fillId="0" borderId="0" xfId="16" applyFont="1"/>
    <xf numFmtId="0" fontId="34" fillId="0" borderId="0" xfId="16" applyFont="1"/>
    <xf numFmtId="0" fontId="35" fillId="0" borderId="0" xfId="16" applyFont="1" applyAlignment="1">
      <alignment horizontal="center"/>
    </xf>
    <xf numFmtId="0" fontId="12" fillId="0" borderId="0" xfId="0" applyFont="1"/>
    <xf numFmtId="44" fontId="2" fillId="0" borderId="0" xfId="3"/>
    <xf numFmtId="3" fontId="22" fillId="0" borderId="0" xfId="0" applyNumberFormat="1" applyFont="1" applyAlignment="1"/>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40"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40"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37" fillId="0" borderId="0" xfId="0" applyNumberFormat="1" applyFont="1" applyFill="1" applyBorder="1" applyAlignment="1"/>
    <xf numFmtId="0" fontId="2" fillId="0" borderId="0" xfId="0" applyNumberFormat="1" applyFont="1" applyFill="1" applyBorder="1" applyAlignment="1"/>
    <xf numFmtId="0" fontId="14" fillId="0" borderId="0" xfId="0" applyNumberFormat="1" applyFont="1" applyFill="1" applyAlignment="1"/>
    <xf numFmtId="164" fontId="2" fillId="0" borderId="0" xfId="0" applyNumberFormat="1" applyFont="1" applyFill="1" applyBorder="1" applyAlignment="1"/>
    <xf numFmtId="0" fontId="12" fillId="0" borderId="0" xfId="0" applyNumberFormat="1" applyFont="1" applyFill="1" applyBorder="1" applyAlignment="1"/>
    <xf numFmtId="0" fontId="12" fillId="0" borderId="0" xfId="0" applyNumberFormat="1" applyFont="1" applyAlignment="1"/>
    <xf numFmtId="0" fontId="22" fillId="0" borderId="0" xfId="0" applyNumberFormat="1" applyFont="1" applyAlignment="1"/>
    <xf numFmtId="0" fontId="14" fillId="0" borderId="10" xfId="0" applyNumberFormat="1" applyFont="1" applyFill="1" applyBorder="1" applyAlignment="1">
      <alignment horizontal="center"/>
    </xf>
    <xf numFmtId="3" fontId="2" fillId="0" borderId="0" xfId="0" applyNumberFormat="1" applyFont="1" applyAlignment="1">
      <alignment horizontal="center"/>
    </xf>
    <xf numFmtId="0" fontId="37" fillId="0" borderId="0" xfId="0" applyNumberFormat="1" applyFont="1" applyAlignment="1"/>
    <xf numFmtId="0" fontId="2" fillId="0" borderId="0" xfId="0" applyFont="1"/>
    <xf numFmtId="167" fontId="2" fillId="0" borderId="0" xfId="0" applyNumberFormat="1" applyFont="1" applyAlignment="1">
      <alignment horizontal="center"/>
    </xf>
    <xf numFmtId="0" fontId="41" fillId="0" borderId="0" xfId="0" applyFont="1" applyAlignment="1">
      <alignment horizontal="centerContinuous"/>
    </xf>
    <xf numFmtId="0" fontId="42" fillId="0" borderId="0" xfId="0" applyFont="1" applyAlignment="1">
      <alignment horizontal="centerContinuous"/>
    </xf>
    <xf numFmtId="0" fontId="21" fillId="0" borderId="0" xfId="0" applyFont="1"/>
    <xf numFmtId="0" fontId="35" fillId="0" borderId="0" xfId="0" applyFont="1"/>
    <xf numFmtId="0" fontId="21" fillId="0" borderId="0" xfId="0" applyFont="1" applyBorder="1"/>
    <xf numFmtId="0" fontId="21" fillId="0" borderId="0" xfId="0" applyFont="1" applyBorder="1" applyAlignment="1"/>
    <xf numFmtId="0" fontId="21" fillId="0" borderId="0" xfId="0" applyFont="1" applyBorder="1" applyAlignment="1">
      <alignment horizontal="center"/>
    </xf>
    <xf numFmtId="0" fontId="21" fillId="0" borderId="11" xfId="0" applyFont="1" applyBorder="1"/>
    <xf numFmtId="0" fontId="8" fillId="0" borderId="0" xfId="0" applyFont="1"/>
    <xf numFmtId="0" fontId="43" fillId="0" borderId="0" xfId="0" applyFont="1" applyAlignment="1"/>
    <xf numFmtId="0" fontId="44"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167" fontId="12" fillId="0" borderId="0" xfId="16" applyNumberFormat="1" applyFont="1" applyAlignment="1" applyProtection="1">
      <alignment horizontal="center"/>
    </xf>
    <xf numFmtId="5" fontId="12" fillId="0" borderId="0" xfId="16" applyNumberFormat="1" applyFont="1" applyProtection="1"/>
    <xf numFmtId="2" fontId="2" fillId="0" borderId="0" xfId="0" applyNumberFormat="1" applyFont="1" applyAlignment="1"/>
    <xf numFmtId="0" fontId="0" fillId="0" borderId="0" xfId="0" applyAlignment="1">
      <alignment vertical="center"/>
    </xf>
    <xf numFmtId="0" fontId="22" fillId="0" borderId="0" xfId="0" applyFont="1"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22" fillId="0" borderId="0" xfId="15" applyFont="1" applyProtection="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67" fontId="8" fillId="0" borderId="0" xfId="26" applyNumberFormat="1" applyAlignment="1"/>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22" fillId="0" borderId="0" xfId="29" applyFont="1"/>
    <xf numFmtId="0" fontId="45" fillId="0" borderId="0" xfId="29"/>
    <xf numFmtId="0" fontId="6" fillId="0" borderId="0" xfId="29" applyFont="1"/>
    <xf numFmtId="0" fontId="45" fillId="0" borderId="15" xfId="29" applyFont="1" applyFill="1" applyBorder="1" applyAlignment="1"/>
    <xf numFmtId="0" fontId="24" fillId="0" borderId="15" xfId="29" applyFont="1" applyFill="1" applyBorder="1" applyAlignment="1">
      <alignment horizontal="center"/>
    </xf>
    <xf numFmtId="0" fontId="45" fillId="0" borderId="0" xfId="29" applyFill="1" applyBorder="1" applyAlignment="1"/>
    <xf numFmtId="5" fontId="45" fillId="0" borderId="0" xfId="29" applyNumberFormat="1" applyFont="1" applyFill="1" applyBorder="1" applyAlignment="1"/>
    <xf numFmtId="5" fontId="45" fillId="0" borderId="0" xfId="29" applyNumberFormat="1" applyFont="1" applyFill="1" applyBorder="1" applyAlignment="1">
      <alignment horizontal="right"/>
    </xf>
    <xf numFmtId="0" fontId="45" fillId="0" borderId="0" xfId="29" applyFill="1" applyBorder="1" applyAlignment="1">
      <alignment horizontal="left"/>
    </xf>
    <xf numFmtId="37" fontId="45" fillId="0" borderId="0" xfId="29" applyNumberFormat="1" applyFont="1" applyFill="1" applyBorder="1" applyAlignment="1"/>
    <xf numFmtId="37" fontId="45" fillId="0" borderId="0" xfId="29" applyNumberFormat="1" applyFont="1" applyFill="1" applyBorder="1" applyAlignment="1">
      <alignment horizontal="right"/>
    </xf>
    <xf numFmtId="37" fontId="12" fillId="0" borderId="0" xfId="18" applyNumberFormat="1" applyFont="1" applyAlignment="1">
      <alignment horizontal="right"/>
    </xf>
    <xf numFmtId="37" fontId="45" fillId="0" borderId="1" xfId="29" applyNumberFormat="1" applyFont="1" applyFill="1" applyBorder="1" applyAlignment="1"/>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5" fillId="0" borderId="0" xfId="29" applyNumberFormat="1" applyFill="1" applyBorder="1" applyAlignment="1"/>
    <xf numFmtId="0" fontId="45" fillId="0" borderId="0" xfId="29" applyFont="1" applyFill="1" applyBorder="1" applyAlignment="1"/>
    <xf numFmtId="5" fontId="12" fillId="0" borderId="0" xfId="18" applyNumberFormat="1" applyFont="1"/>
    <xf numFmtId="37" fontId="12" fillId="0" borderId="0" xfId="18" applyNumberFormat="1" applyFont="1"/>
    <xf numFmtId="37" fontId="45" fillId="0" borderId="0" xfId="29" applyNumberFormat="1"/>
    <xf numFmtId="37" fontId="45" fillId="0" borderId="0" xfId="29" applyNumberFormat="1" applyAlignment="1">
      <alignment horizontal="right"/>
    </xf>
    <xf numFmtId="0" fontId="24" fillId="0" borderId="15" xfId="29" applyFont="1" applyBorder="1"/>
    <xf numFmtId="5" fontId="24" fillId="0" borderId="15" xfId="29" applyNumberFormat="1" applyFont="1" applyBorder="1"/>
    <xf numFmtId="5" fontId="24" fillId="0" borderId="15" xfId="29" applyNumberFormat="1" applyFont="1" applyFill="1" applyBorder="1" applyAlignment="1"/>
    <xf numFmtId="0" fontId="22" fillId="0" borderId="0" xfId="30" applyFont="1" applyAlignment="1">
      <alignment horizontal="left"/>
    </xf>
    <xf numFmtId="0" fontId="24" fillId="0" borderId="0" xfId="30" applyFont="1" applyAlignment="1">
      <alignment horizontal="centerContinuous"/>
    </xf>
    <xf numFmtId="0" fontId="45" fillId="0" borderId="0" xfId="30"/>
    <xf numFmtId="0" fontId="6" fillId="0" borderId="0" xfId="30" applyFont="1" applyAlignment="1">
      <alignment horizontal="left"/>
    </xf>
    <xf numFmtId="0" fontId="45" fillId="0" borderId="0" xfId="30" applyAlignment="1">
      <alignment horizontal="centerContinuous"/>
    </xf>
    <xf numFmtId="0" fontId="45" fillId="0" borderId="0" xfId="30" applyAlignment="1">
      <alignment horizontal="left"/>
    </xf>
    <xf numFmtId="0" fontId="45" fillId="0" borderId="16" xfId="30" applyBorder="1"/>
    <xf numFmtId="0" fontId="45" fillId="0" borderId="0" xfId="30" applyBorder="1"/>
    <xf numFmtId="0" fontId="45" fillId="0" borderId="0" xfId="30" applyBorder="1" applyAlignment="1">
      <alignment horizontal="center"/>
    </xf>
    <xf numFmtId="0" fontId="24" fillId="0" borderId="1" xfId="30" applyFont="1" applyBorder="1" applyAlignment="1">
      <alignment horizontal="center"/>
    </xf>
    <xf numFmtId="0" fontId="24" fillId="0" borderId="1" xfId="30" applyFont="1" applyBorder="1" applyAlignment="1">
      <alignment horizontal="right"/>
    </xf>
    <xf numFmtId="0" fontId="24" fillId="0" borderId="0" xfId="30" applyFont="1" applyBorder="1" applyAlignment="1">
      <alignment horizontal="center"/>
    </xf>
    <xf numFmtId="0" fontId="45" fillId="0" borderId="0" xfId="29" applyBorder="1"/>
    <xf numFmtId="0" fontId="45" fillId="0" borderId="0" xfId="30" applyAlignment="1">
      <alignment horizontal="center"/>
    </xf>
    <xf numFmtId="167" fontId="45" fillId="0" borderId="0" xfId="1" applyNumberFormat="1" applyAlignment="1">
      <alignment horizontal="right"/>
    </xf>
    <xf numFmtId="3" fontId="45" fillId="0" borderId="0" xfId="30" applyNumberFormat="1"/>
    <xf numFmtId="3" fontId="45" fillId="0" borderId="0" xfId="1" applyNumberFormat="1" applyAlignment="1">
      <alignment horizontal="right"/>
    </xf>
    <xf numFmtId="3" fontId="45" fillId="0" borderId="0" xfId="1" applyNumberFormat="1"/>
    <xf numFmtId="0" fontId="0" fillId="0" borderId="0" xfId="0" applyNumberFormat="1" applyFont="1" applyAlignment="1"/>
    <xf numFmtId="0" fontId="46"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7"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20" fillId="0" borderId="0" xfId="22" applyFo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3" fontId="20" fillId="0" borderId="0" xfId="22" applyNumberFormat="1" applyFont="1"/>
    <xf numFmtId="0" fontId="17" fillId="0" borderId="16" xfId="22" applyNumberFormat="1" applyFont="1" applyFill="1" applyBorder="1" applyAlignment="1">
      <alignment horizontal="right" vertical="center" wrapText="1"/>
    </xf>
    <xf numFmtId="0" fontId="20" fillId="0" borderId="16" xfId="22" applyFont="1" applyBorder="1"/>
    <xf numFmtId="167" fontId="17" fillId="0" borderId="15" xfId="22" applyNumberFormat="1" applyFont="1" applyFill="1" applyBorder="1" applyAlignment="1">
      <alignment horizontal="right" vertical="center"/>
    </xf>
    <xf numFmtId="0" fontId="0" fillId="0" borderId="0" xfId="0" applyNumberFormat="1" applyFont="1" applyFill="1" applyAlignment="1"/>
    <xf numFmtId="168" fontId="0" fillId="0" borderId="0" xfId="0" applyNumberFormat="1" applyFont="1" applyAlignment="1"/>
    <xf numFmtId="167" fontId="10" fillId="0" borderId="0" xfId="0" applyNumberFormat="1" applyFont="1" applyFill="1" applyAlignment="1">
      <alignment horizontal="right"/>
    </xf>
    <xf numFmtId="10" fontId="20" fillId="0" borderId="0" xfId="22" applyNumberFormat="1" applyFont="1"/>
    <xf numFmtId="0" fontId="20" fillId="0" borderId="0" xfId="22" applyFont="1" applyBorder="1"/>
    <xf numFmtId="177" fontId="17" fillId="0" borderId="15" xfId="22" applyNumberFormat="1" applyFont="1" applyFill="1" applyBorder="1" applyAlignment="1">
      <alignment horizontal="right" vertical="center"/>
    </xf>
    <xf numFmtId="167" fontId="20" fillId="0" borderId="0" xfId="22" applyNumberFormat="1" applyFont="1"/>
    <xf numFmtId="37" fontId="22" fillId="4" borderId="0" xfId="17" applyNumberFormat="1" applyFont="1" applyFill="1" applyAlignment="1" applyProtection="1">
      <alignment horizontal="left"/>
    </xf>
    <xf numFmtId="4" fontId="28" fillId="4" borderId="0" xfId="17" applyNumberFormat="1" applyFont="1" applyFill="1" applyProtection="1"/>
    <xf numFmtId="0" fontId="12" fillId="4" borderId="0" xfId="33" applyFont="1" applyFill="1"/>
    <xf numFmtId="0" fontId="12" fillId="4" borderId="0" xfId="33" applyFont="1" applyFill="1" applyBorder="1"/>
    <xf numFmtId="37" fontId="6" fillId="4" borderId="0" xfId="17" applyNumberFormat="1" applyFont="1" applyFill="1" applyAlignment="1" applyProtection="1">
      <alignment horizontal="left"/>
    </xf>
    <xf numFmtId="37" fontId="24" fillId="4" borderId="0" xfId="17" applyNumberFormat="1" applyFont="1" applyFill="1" applyAlignment="1" applyProtection="1">
      <alignment horizontal="left"/>
    </xf>
    <xf numFmtId="0" fontId="12" fillId="4" borderId="16" xfId="33" applyFont="1" applyFill="1" applyBorder="1" applyAlignment="1">
      <alignment horizontal="center"/>
    </xf>
    <xf numFmtId="4" fontId="12" fillId="4" borderId="16" xfId="33" applyNumberFormat="1" applyFont="1" applyFill="1" applyBorder="1" applyAlignment="1">
      <alignment horizontal="center"/>
    </xf>
    <xf numFmtId="0" fontId="24" fillId="4" borderId="1" xfId="33" applyFont="1" applyFill="1" applyBorder="1" applyAlignment="1">
      <alignment horizontal="left"/>
    </xf>
    <xf numFmtId="4" fontId="24" fillId="4" borderId="1" xfId="33" applyNumberFormat="1" applyFont="1" applyFill="1" applyBorder="1" applyAlignment="1">
      <alignment horizontal="right"/>
    </xf>
    <xf numFmtId="3" fontId="12" fillId="4" borderId="0" xfId="33" applyNumberFormat="1" applyFont="1" applyFill="1" applyBorder="1" applyAlignment="1"/>
    <xf numFmtId="10" fontId="12" fillId="4" borderId="0" xfId="38" applyNumberFormat="1" applyFont="1" applyFill="1"/>
    <xf numFmtId="5" fontId="24" fillId="4" borderId="8" xfId="17" applyNumberFormat="1" applyFont="1" applyFill="1" applyBorder="1" applyProtection="1"/>
    <xf numFmtId="167" fontId="24" fillId="4" borderId="8" xfId="17" applyNumberFormat="1" applyFont="1" applyFill="1" applyBorder="1" applyProtection="1"/>
    <xf numFmtId="5" fontId="24" fillId="4" borderId="0" xfId="17" applyNumberFormat="1" applyFont="1" applyFill="1" applyBorder="1" applyProtection="1"/>
    <xf numFmtId="167" fontId="12" fillId="4" borderId="0" xfId="17" applyNumberFormat="1" applyFont="1" applyFill="1" applyBorder="1" applyProtection="1"/>
    <xf numFmtId="3" fontId="12" fillId="4" borderId="0" xfId="33" applyNumberFormat="1" applyFont="1" applyFill="1" applyBorder="1"/>
    <xf numFmtId="0" fontId="12" fillId="4" borderId="13" xfId="33" applyFont="1" applyFill="1" applyBorder="1"/>
    <xf numFmtId="10" fontId="12" fillId="0" borderId="0" xfId="38" applyNumberFormat="1" applyFont="1" applyFill="1"/>
    <xf numFmtId="3" fontId="12" fillId="4" borderId="0" xfId="33" applyNumberFormat="1" applyFont="1" applyFill="1"/>
    <xf numFmtId="10" fontId="48" fillId="4" borderId="0" xfId="38" applyNumberFormat="1" applyFont="1" applyFill="1"/>
    <xf numFmtId="44" fontId="12" fillId="4" borderId="0" xfId="4" applyFont="1" applyFill="1"/>
    <xf numFmtId="0" fontId="22" fillId="4" borderId="0" xfId="32" applyNumberFormat="1" applyFont="1" applyFill="1" applyAlignment="1"/>
    <xf numFmtId="0" fontId="14" fillId="4" borderId="0" xfId="32" applyNumberFormat="1" applyFont="1" applyFill="1" applyAlignment="1"/>
    <xf numFmtId="167" fontId="14" fillId="4" borderId="0" xfId="38" applyNumberFormat="1" applyFont="1" applyFill="1" applyAlignment="1"/>
    <xf numFmtId="170" fontId="6" fillId="4" borderId="0" xfId="32" applyNumberFormat="1" applyFont="1" applyFill="1" applyAlignment="1"/>
    <xf numFmtId="0" fontId="23" fillId="4" borderId="0" xfId="31" applyNumberFormat="1" applyFont="1" applyFill="1" applyAlignment="1">
      <alignment horizontal="left" wrapText="1"/>
    </xf>
    <xf numFmtId="0" fontId="12" fillId="4" borderId="10" xfId="32" applyNumberFormat="1" applyFont="1" applyFill="1" applyBorder="1" applyAlignment="1"/>
    <xf numFmtId="3" fontId="24" fillId="4" borderId="10" xfId="32" applyNumberFormat="1" applyFont="1" applyFill="1" applyBorder="1" applyAlignment="1">
      <alignment horizontal="right"/>
    </xf>
    <xf numFmtId="167" fontId="24" fillId="4" borderId="10" xfId="32" applyNumberFormat="1" applyFont="1" applyFill="1" applyBorder="1" applyAlignment="1">
      <alignment horizontal="right"/>
    </xf>
    <xf numFmtId="0" fontId="12" fillId="4" borderId="0" xfId="32" applyFont="1" applyFill="1"/>
    <xf numFmtId="3" fontId="24" fillId="4" borderId="1" xfId="32" applyNumberFormat="1" applyFont="1" applyFill="1" applyBorder="1" applyAlignment="1">
      <alignment horizontal="left"/>
    </xf>
    <xf numFmtId="0" fontId="24" fillId="4" borderId="1" xfId="32" applyFont="1" applyFill="1" applyBorder="1" applyAlignment="1">
      <alignment horizontal="right"/>
    </xf>
    <xf numFmtId="0" fontId="24" fillId="4" borderId="1" xfId="32" applyNumberFormat="1" applyFont="1" applyFill="1" applyBorder="1" applyAlignment="1">
      <alignment horizontal="right"/>
    </xf>
    <xf numFmtId="3" fontId="24" fillId="4" borderId="0" xfId="32" applyNumberFormat="1" applyFont="1" applyFill="1" applyBorder="1" applyAlignment="1">
      <alignment horizontal="left"/>
    </xf>
    <xf numFmtId="0" fontId="24" fillId="4" borderId="0" xfId="32" applyFont="1" applyFill="1" applyBorder="1" applyAlignment="1">
      <alignment horizontal="right"/>
    </xf>
    <xf numFmtId="167" fontId="12" fillId="4" borderId="0" xfId="38" applyNumberFormat="1" applyFont="1" applyFill="1" applyBorder="1"/>
    <xf numFmtId="0" fontId="12" fillId="4" borderId="0" xfId="32" applyFont="1" applyFill="1" applyBorder="1"/>
    <xf numFmtId="167" fontId="12" fillId="4" borderId="0" xfId="32" applyNumberFormat="1" applyFont="1" applyFill="1" applyBorder="1"/>
    <xf numFmtId="167" fontId="12" fillId="4" borderId="0" xfId="32" applyNumberFormat="1" applyFont="1" applyFill="1"/>
    <xf numFmtId="167" fontId="12" fillId="4" borderId="0" xfId="38" applyNumberFormat="1" applyFont="1" applyFill="1"/>
    <xf numFmtId="3" fontId="12" fillId="4" borderId="0" xfId="32" applyNumberFormat="1" applyFont="1" applyFill="1" applyBorder="1"/>
    <xf numFmtId="3" fontId="12" fillId="4" borderId="0" xfId="32" applyNumberFormat="1" applyFont="1" applyFill="1"/>
    <xf numFmtId="3" fontId="12" fillId="4" borderId="0" xfId="38" applyNumberFormat="1" applyFont="1" applyFill="1"/>
    <xf numFmtId="170" fontId="24" fillId="4" borderId="0" xfId="32" applyNumberFormat="1" applyFont="1" applyFill="1" applyAlignment="1">
      <alignment horizontal="left"/>
    </xf>
    <xf numFmtId="3" fontId="24" fillId="4" borderId="0" xfId="32" applyNumberFormat="1" applyFont="1" applyFill="1" applyBorder="1" applyAlignment="1">
      <alignment horizontal="right"/>
    </xf>
    <xf numFmtId="3" fontId="12" fillId="4" borderId="0" xfId="32" applyNumberFormat="1" applyFont="1" applyFill="1" applyAlignment="1"/>
    <xf numFmtId="0" fontId="12" fillId="4" borderId="0" xfId="32" applyNumberFormat="1" applyFont="1" applyFill="1" applyAlignment="1"/>
    <xf numFmtId="3" fontId="12" fillId="4" borderId="0" xfId="38" applyNumberFormat="1" applyFont="1" applyFill="1" applyAlignment="1"/>
    <xf numFmtId="178" fontId="49" fillId="0" borderId="0" xfId="31"/>
    <xf numFmtId="3" fontId="12" fillId="4" borderId="1" xfId="32" applyNumberFormat="1" applyFont="1" applyFill="1" applyBorder="1"/>
    <xf numFmtId="3" fontId="24" fillId="4" borderId="15" xfId="32" applyNumberFormat="1" applyFont="1" applyFill="1" applyBorder="1" applyAlignment="1"/>
    <xf numFmtId="167" fontId="24" fillId="4" borderId="15" xfId="38" applyNumberFormat="1" applyFont="1" applyFill="1" applyBorder="1"/>
    <xf numFmtId="3" fontId="24" fillId="4" borderId="12" xfId="32" applyNumberFormat="1" applyFont="1" applyFill="1" applyBorder="1" applyAlignment="1"/>
    <xf numFmtId="167" fontId="12" fillId="4" borderId="0" xfId="32" applyNumberFormat="1" applyFont="1" applyFill="1" applyBorder="1" applyAlignment="1"/>
    <xf numFmtId="3" fontId="12" fillId="0" borderId="0" xfId="32" applyNumberFormat="1" applyFont="1" applyFill="1" applyBorder="1"/>
    <xf numFmtId="167" fontId="24" fillId="4" borderId="0" xfId="32" applyNumberFormat="1" applyFont="1" applyFill="1"/>
    <xf numFmtId="0" fontId="12" fillId="4" borderId="15" xfId="32" applyFont="1" applyFill="1" applyBorder="1"/>
    <xf numFmtId="167" fontId="24" fillId="4" borderId="0" xfId="38" applyNumberFormat="1" applyFont="1" applyFill="1"/>
    <xf numFmtId="3" fontId="24" fillId="4" borderId="0" xfId="32" applyNumberFormat="1" applyFont="1" applyFill="1" applyBorder="1" applyAlignment="1"/>
    <xf numFmtId="164" fontId="24" fillId="4" borderId="0" xfId="32" applyNumberFormat="1" applyFont="1" applyFill="1" applyBorder="1" applyAlignment="1">
      <alignment horizontal="right"/>
    </xf>
    <xf numFmtId="3" fontId="12" fillId="5" borderId="0" xfId="32" applyNumberFormat="1" applyFont="1" applyFill="1" applyBorder="1"/>
    <xf numFmtId="3" fontId="12" fillId="5" borderId="0" xfId="32" applyNumberFormat="1" applyFont="1" applyFill="1"/>
    <xf numFmtId="0" fontId="12" fillId="5" borderId="0" xfId="32" applyFont="1" applyFill="1"/>
    <xf numFmtId="0" fontId="12" fillId="4" borderId="0" xfId="17" applyFont="1" applyFill="1" applyAlignment="1" applyProtection="1">
      <alignment horizontal="left"/>
    </xf>
    <xf numFmtId="37" fontId="28" fillId="4" borderId="0" xfId="17" applyNumberFormat="1" applyFont="1" applyFill="1" applyProtection="1"/>
    <xf numFmtId="0" fontId="28" fillId="4" borderId="0" xfId="17" applyFont="1" applyFill="1" applyProtection="1"/>
    <xf numFmtId="37" fontId="12" fillId="4" borderId="0" xfId="17" applyNumberFormat="1" applyFont="1" applyFill="1" applyAlignment="1" applyProtection="1">
      <alignment horizontal="centerContinuous"/>
    </xf>
    <xf numFmtId="37" fontId="12" fillId="4" borderId="0" xfId="17" applyNumberFormat="1" applyFont="1" applyFill="1" applyAlignment="1" applyProtection="1">
      <alignment horizontal="left"/>
    </xf>
    <xf numFmtId="5" fontId="36" fillId="4" borderId="6" xfId="17" applyNumberFormat="1" applyFont="1" applyFill="1" applyBorder="1" applyProtection="1"/>
    <xf numFmtId="37" fontId="36" fillId="4" borderId="6" xfId="17" applyNumberFormat="1" applyFont="1" applyFill="1" applyBorder="1" applyAlignment="1" applyProtection="1">
      <alignment horizontal="center"/>
    </xf>
    <xf numFmtId="0" fontId="36" fillId="4" borderId="0" xfId="17" applyFont="1" applyFill="1" applyBorder="1" applyProtection="1"/>
    <xf numFmtId="0" fontId="36" fillId="4" borderId="6" xfId="17" applyFont="1" applyFill="1" applyBorder="1" applyProtection="1"/>
    <xf numFmtId="5" fontId="36" fillId="4" borderId="7" xfId="17" applyNumberFormat="1" applyFont="1" applyFill="1" applyBorder="1" applyAlignment="1" applyProtection="1">
      <alignment horizontal="center"/>
    </xf>
    <xf numFmtId="37" fontId="36" fillId="4" borderId="7" xfId="17" applyNumberFormat="1" applyFont="1" applyFill="1" applyBorder="1" applyAlignment="1" applyProtection="1">
      <alignment horizontal="center"/>
    </xf>
    <xf numFmtId="5" fontId="36" fillId="4" borderId="7" xfId="17" applyNumberFormat="1" applyFont="1" applyFill="1" applyBorder="1" applyProtection="1"/>
    <xf numFmtId="5" fontId="37" fillId="4" borderId="0" xfId="17" applyNumberFormat="1" applyFont="1" applyFill="1" applyBorder="1" applyProtection="1"/>
    <xf numFmtId="10" fontId="38" fillId="4" borderId="0" xfId="38" applyNumberFormat="1" applyFont="1" applyFill="1" applyBorder="1" applyProtection="1"/>
    <xf numFmtId="0" fontId="37" fillId="4" borderId="0" xfId="17" applyFont="1" applyFill="1" applyBorder="1" applyProtection="1"/>
    <xf numFmtId="10" fontId="38" fillId="4" borderId="0" xfId="38" applyNumberFormat="1" applyFont="1" applyFill="1" applyProtection="1"/>
    <xf numFmtId="37" fontId="37" fillId="4" borderId="0" xfId="27" applyNumberFormat="1" applyFont="1" applyFill="1" applyBorder="1"/>
    <xf numFmtId="37" fontId="37" fillId="4" borderId="0" xfId="17" applyNumberFormat="1" applyFont="1" applyFill="1" applyBorder="1" applyProtection="1"/>
    <xf numFmtId="5" fontId="37" fillId="4" borderId="1" xfId="17" applyNumberFormat="1" applyFont="1" applyFill="1" applyBorder="1" applyProtection="1"/>
    <xf numFmtId="37" fontId="37" fillId="4" borderId="1" xfId="27" applyNumberFormat="1" applyFont="1" applyFill="1" applyBorder="1"/>
    <xf numFmtId="37" fontId="37" fillId="4" borderId="1" xfId="17" applyNumberFormat="1" applyFont="1" applyFill="1" applyBorder="1" applyProtection="1"/>
    <xf numFmtId="0" fontId="37" fillId="4" borderId="1" xfId="17" applyFont="1" applyFill="1" applyBorder="1" applyProtection="1"/>
    <xf numFmtId="4" fontId="12" fillId="4" borderId="0" xfId="27" applyNumberFormat="1" applyFill="1"/>
    <xf numFmtId="37" fontId="37" fillId="4" borderId="0" xfId="17" applyNumberFormat="1" applyFont="1" applyFill="1" applyProtection="1"/>
    <xf numFmtId="0" fontId="37" fillId="4" borderId="0" xfId="17" applyFont="1" applyFill="1" applyProtection="1"/>
    <xf numFmtId="37" fontId="12" fillId="4" borderId="0" xfId="17" applyNumberFormat="1" applyFont="1" applyFill="1" applyProtection="1"/>
    <xf numFmtId="0" fontId="12" fillId="4" borderId="0" xfId="17" applyFont="1" applyFill="1" applyProtection="1"/>
    <xf numFmtId="5" fontId="37" fillId="4" borderId="6" xfId="17" applyNumberFormat="1" applyFont="1" applyFill="1" applyBorder="1" applyProtection="1"/>
    <xf numFmtId="0" fontId="37" fillId="4" borderId="6" xfId="17" applyFont="1" applyFill="1" applyBorder="1" applyProtection="1"/>
    <xf numFmtId="175" fontId="37" fillId="4" borderId="0" xfId="27" applyNumberFormat="1" applyFont="1" applyFill="1" applyBorder="1"/>
    <xf numFmtId="5" fontId="37" fillId="4" borderId="0" xfId="27" applyNumberFormat="1" applyFont="1" applyFill="1" applyBorder="1"/>
    <xf numFmtId="5" fontId="36" fillId="4" borderId="8" xfId="17" applyNumberFormat="1" applyFont="1" applyFill="1" applyBorder="1" applyProtection="1"/>
    <xf numFmtId="0" fontId="12" fillId="4" borderId="0" xfId="17" applyFont="1" applyFill="1" applyBorder="1" applyProtection="1"/>
    <xf numFmtId="37" fontId="12" fillId="4" borderId="0" xfId="17" applyNumberFormat="1" applyFont="1" applyFill="1" applyBorder="1" applyProtection="1"/>
    <xf numFmtId="0" fontId="36" fillId="4" borderId="8" xfId="17" applyFont="1" applyFill="1" applyBorder="1" applyProtection="1"/>
    <xf numFmtId="167" fontId="12" fillId="0" borderId="0" xfId="8" applyNumberFormat="1"/>
    <xf numFmtId="0" fontId="22" fillId="0" borderId="0" xfId="11" applyNumberFormat="1" applyFont="1" applyAlignment="1"/>
    <xf numFmtId="0" fontId="23" fillId="0" borderId="0" xfId="11" applyNumberFormat="1" applyFont="1" applyAlignment="1"/>
    <xf numFmtId="164" fontId="23" fillId="0" borderId="0" xfId="11" applyNumberFormat="1" applyFont="1" applyAlignment="1"/>
    <xf numFmtId="0" fontId="6" fillId="0" borderId="0" xfId="11" applyNumberFormat="1" applyFont="1" applyAlignment="1"/>
    <xf numFmtId="3" fontId="6" fillId="0" borderId="0" xfId="11" applyNumberFormat="1" applyFont="1" applyAlignment="1"/>
    <xf numFmtId="0" fontId="23" fillId="0" borderId="0" xfId="11" applyNumberFormat="1" applyFont="1" applyAlignment="1">
      <alignment horizontal="center"/>
    </xf>
    <xf numFmtId="0" fontId="12" fillId="0" borderId="0" xfId="11" applyNumberFormat="1" applyFont="1" applyAlignment="1"/>
    <xf numFmtId="167" fontId="12" fillId="0" borderId="0" xfId="11" applyNumberFormat="1" applyFont="1"/>
    <xf numFmtId="0" fontId="12" fillId="0" borderId="0" xfId="11" applyFont="1"/>
    <xf numFmtId="3" fontId="12" fillId="0" borderId="0" xfId="11" applyNumberFormat="1" applyFont="1"/>
    <xf numFmtId="0" fontId="22" fillId="0" borderId="0" xfId="11" applyNumberFormat="1" applyFont="1" applyBorder="1" applyAlignment="1"/>
    <xf numFmtId="164" fontId="23" fillId="0" borderId="0" xfId="11" applyNumberFormat="1" applyFont="1" applyBorder="1" applyAlignment="1"/>
    <xf numFmtId="0" fontId="23" fillId="0" borderId="0" xfId="11" applyNumberFormat="1" applyFont="1" applyBorder="1" applyAlignment="1"/>
    <xf numFmtId="164" fontId="52" fillId="0" borderId="0" xfId="11" applyNumberFormat="1" applyFont="1" applyAlignment="1"/>
    <xf numFmtId="0" fontId="23" fillId="0" borderId="0" xfId="11" applyFont="1" applyBorder="1"/>
    <xf numFmtId="164" fontId="25" fillId="0" borderId="18" xfId="11" applyNumberFormat="1" applyFont="1" applyBorder="1" applyAlignment="1">
      <alignment horizontal="center"/>
    </xf>
    <xf numFmtId="0" fontId="23" fillId="0" borderId="18" xfId="11" applyNumberFormat="1" applyFont="1" applyBorder="1" applyAlignment="1"/>
    <xf numFmtId="0" fontId="3" fillId="0" borderId="0" xfId="11"/>
    <xf numFmtId="0" fontId="25" fillId="0" borderId="6" xfId="11" applyNumberFormat="1" applyFont="1" applyBorder="1" applyAlignment="1">
      <alignment horizontal="center"/>
    </xf>
    <xf numFmtId="0" fontId="25" fillId="0" borderId="6" xfId="11" applyNumberFormat="1" applyFont="1" applyBorder="1" applyAlignment="1"/>
    <xf numFmtId="164" fontId="25" fillId="0" borderId="6" xfId="11" applyNumberFormat="1" applyFont="1" applyBorder="1" applyAlignment="1">
      <alignment horizontal="center"/>
    </xf>
    <xf numFmtId="167" fontId="23" fillId="0" borderId="0" xfId="11" applyNumberFormat="1" applyFont="1" applyAlignment="1"/>
    <xf numFmtId="3" fontId="12" fillId="0" borderId="0" xfId="11" applyNumberFormat="1" applyFont="1" applyBorder="1"/>
    <xf numFmtId="167" fontId="24" fillId="0" borderId="15" xfId="11" applyNumberFormat="1" applyFont="1" applyBorder="1"/>
    <xf numFmtId="0" fontId="12" fillId="0" borderId="0" xfId="11" applyNumberFormat="1" applyFont="1" applyBorder="1" applyAlignment="1"/>
    <xf numFmtId="0" fontId="23" fillId="0" borderId="19" xfId="11" applyFont="1" applyBorder="1"/>
    <xf numFmtId="3" fontId="26" fillId="0" borderId="0" xfId="11" applyNumberFormat="1" applyFont="1" applyBorder="1"/>
    <xf numFmtId="0" fontId="26" fillId="0" borderId="0" xfId="11" applyNumberFormat="1" applyFont="1" applyAlignment="1"/>
    <xf numFmtId="3" fontId="23" fillId="0" borderId="0" xfId="11" applyNumberFormat="1" applyFont="1" applyBorder="1"/>
    <xf numFmtId="3" fontId="23" fillId="0" borderId="0" xfId="11" applyNumberFormat="1" applyFont="1"/>
    <xf numFmtId="167" fontId="24" fillId="0" borderId="0" xfId="11" applyNumberFormat="1" applyFont="1"/>
    <xf numFmtId="3" fontId="12" fillId="0" borderId="0" xfId="11" applyNumberFormat="1" applyFont="1" applyAlignment="1"/>
    <xf numFmtId="3" fontId="12" fillId="0" borderId="0" xfId="11" applyNumberFormat="1" applyFont="1" applyBorder="1" applyAlignment="1"/>
    <xf numFmtId="3" fontId="6" fillId="0" borderId="0" xfId="11" applyNumberFormat="1" applyFont="1" applyBorder="1" applyAlignment="1"/>
    <xf numFmtId="0" fontId="3" fillId="0" borderId="0" xfId="11" applyBorder="1"/>
    <xf numFmtId="3" fontId="24" fillId="0" borderId="1" xfId="11" applyNumberFormat="1" applyFont="1" applyBorder="1" applyAlignment="1">
      <alignment horizontal="center"/>
    </xf>
    <xf numFmtId="167" fontId="12" fillId="0" borderId="0" xfId="11" applyNumberFormat="1" applyFont="1" applyBorder="1"/>
    <xf numFmtId="0" fontId="6" fillId="0" borderId="0" xfId="11" applyNumberFormat="1" applyFont="1" applyBorder="1" applyAlignment="1"/>
    <xf numFmtId="3" fontId="51" fillId="0" borderId="0" xfId="11" applyNumberFormat="1" applyFont="1" applyBorder="1" applyAlignment="1"/>
    <xf numFmtId="3" fontId="24" fillId="0" borderId="0" xfId="11" applyNumberFormat="1" applyFont="1" applyBorder="1" applyAlignment="1"/>
    <xf numFmtId="3" fontId="24" fillId="0" borderId="0" xfId="11" applyNumberFormat="1" applyFont="1" applyBorder="1" applyAlignment="1">
      <alignment horizontal="center"/>
    </xf>
    <xf numFmtId="3" fontId="3" fillId="0" borderId="0" xfId="11" applyNumberFormat="1"/>
    <xf numFmtId="3" fontId="24" fillId="0" borderId="15" xfId="11" applyNumberFormat="1" applyFont="1" applyBorder="1"/>
    <xf numFmtId="3" fontId="12" fillId="0" borderId="1" xfId="11" applyNumberFormat="1" applyFont="1" applyBorder="1" applyAlignment="1"/>
    <xf numFmtId="3" fontId="24" fillId="0" borderId="0" xfId="11" applyNumberFormat="1" applyFont="1" applyBorder="1"/>
    <xf numFmtId="3" fontId="24" fillId="0" borderId="15" xfId="11" applyNumberFormat="1" applyFont="1" applyBorder="1" applyAlignment="1"/>
    <xf numFmtId="167" fontId="24" fillId="0" borderId="0" xfId="11" applyNumberFormat="1" applyFont="1" applyBorder="1"/>
    <xf numFmtId="0" fontId="23" fillId="0" borderId="0" xfId="11" applyFont="1"/>
    <xf numFmtId="3" fontId="22" fillId="0" borderId="0" xfId="11" applyNumberFormat="1" applyFont="1" applyAlignment="1"/>
    <xf numFmtId="3" fontId="24" fillId="0" borderId="16" xfId="11" applyNumberFormat="1" applyFont="1" applyBorder="1" applyAlignment="1">
      <alignment horizontal="center"/>
    </xf>
    <xf numFmtId="3" fontId="22" fillId="0" borderId="0" xfId="11" applyNumberFormat="1" applyFont="1" applyBorder="1" applyAlignment="1"/>
    <xf numFmtId="3" fontId="8" fillId="0" borderId="0" xfId="11" applyNumberFormat="1" applyFont="1" applyBorder="1" applyAlignment="1"/>
    <xf numFmtId="0" fontId="8" fillId="0" borderId="0" xfId="11" applyFont="1" applyBorder="1"/>
    <xf numFmtId="0" fontId="8" fillId="0" borderId="0" xfId="11" applyFont="1"/>
    <xf numFmtId="167" fontId="45" fillId="0" borderId="0" xfId="23" applyNumberFormat="1" applyFont="1" applyFill="1" applyBorder="1" applyAlignment="1">
      <alignment vertical="center"/>
    </xf>
    <xf numFmtId="3" fontId="45" fillId="0" borderId="0" xfId="23" applyNumberFormat="1" applyFont="1" applyFill="1" applyBorder="1" applyAlignment="1">
      <alignment vertical="center"/>
    </xf>
    <xf numFmtId="3" fontId="12" fillId="4" borderId="1" xfId="11" applyNumberFormat="1" applyFont="1" applyFill="1" applyBorder="1" applyAlignment="1"/>
    <xf numFmtId="167" fontId="12" fillId="0" borderId="0" xfId="11" applyNumberFormat="1" applyFont="1" applyBorder="1" applyAlignment="1"/>
    <xf numFmtId="0" fontId="22" fillId="0" borderId="0" xfId="25" applyFont="1" applyAlignment="1"/>
    <xf numFmtId="0" fontId="45" fillId="0" borderId="0" xfId="25"/>
    <xf numFmtId="0" fontId="22" fillId="0" borderId="0" xfId="25" applyFont="1" applyAlignment="1">
      <alignment horizontal="right"/>
    </xf>
    <xf numFmtId="0" fontId="45" fillId="0" borderId="0" xfId="25" applyAlignment="1"/>
    <xf numFmtId="0" fontId="45" fillId="0" borderId="0" xfId="25" applyAlignment="1">
      <alignment horizontal="right"/>
    </xf>
    <xf numFmtId="0" fontId="24" fillId="0" borderId="0" xfId="25" applyFont="1"/>
    <xf numFmtId="0" fontId="6" fillId="0" borderId="0" xfId="25" applyFont="1" applyAlignment="1"/>
    <xf numFmtId="0" fontId="45" fillId="0" borderId="0" xfId="25" applyAlignment="1">
      <alignment wrapText="1"/>
    </xf>
    <xf numFmtId="0" fontId="45"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5" fillId="0" borderId="0" xfId="25" applyNumberFormat="1" applyAlignment="1">
      <alignment horizontal="right"/>
    </xf>
    <xf numFmtId="167" fontId="45" fillId="0" borderId="0" xfId="25" applyNumberFormat="1"/>
    <xf numFmtId="3" fontId="45" fillId="0" borderId="0" xfId="25" applyNumberFormat="1"/>
    <xf numFmtId="0" fontId="45" fillId="0" borderId="0" xfId="25" applyFont="1" applyAlignment="1"/>
    <xf numFmtId="0" fontId="0" fillId="0" borderId="0" xfId="25" applyFont="1" applyAlignment="1"/>
    <xf numFmtId="3" fontId="0" fillId="0" borderId="0" xfId="25" applyNumberFormat="1" applyFont="1" applyAlignment="1">
      <alignment horizontal="right"/>
    </xf>
    <xf numFmtId="3" fontId="45" fillId="0" borderId="0" xfId="25" applyNumberFormat="1" applyFont="1"/>
    <xf numFmtId="0" fontId="45"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5" fillId="0" borderId="0" xfId="25" applyNumberFormat="1"/>
    <xf numFmtId="0" fontId="45"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24" fillId="0" borderId="30" xfId="20" applyFont="1" applyBorder="1" applyAlignment="1">
      <alignment horizontal="center"/>
    </xf>
    <xf numFmtId="0" fontId="12" fillId="0" borderId="27" xfId="20" applyFont="1" applyBorder="1" applyAlignment="1">
      <alignment horizontal="center"/>
    </xf>
    <xf numFmtId="167" fontId="12" fillId="0" borderId="26" xfId="19" applyNumberFormat="1" applyFont="1" applyBorder="1" applyAlignment="1"/>
    <xf numFmtId="167" fontId="12" fillId="0" borderId="0" xfId="19" applyNumberFormat="1" applyFont="1" applyBorder="1" applyAlignment="1"/>
    <xf numFmtId="0" fontId="12" fillId="0" borderId="27" xfId="20" applyFont="1" applyBorder="1" applyAlignment="1">
      <alignment horizontal="right"/>
    </xf>
    <xf numFmtId="173" fontId="12" fillId="0" borderId="0" xfId="19" applyNumberFormat="1" applyFont="1"/>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0" fontId="12" fillId="0" borderId="27" xfId="20" applyFont="1" applyFill="1" applyBorder="1" applyAlignment="1">
      <alignment horizontal="right"/>
    </xf>
    <xf numFmtId="3" fontId="45" fillId="0" borderId="0" xfId="25" applyNumberFormat="1" applyBorder="1" applyAlignment="1"/>
    <xf numFmtId="3" fontId="45" fillId="0" borderId="26" xfId="25" applyNumberFormat="1" applyBorder="1" applyAlignment="1"/>
    <xf numFmtId="0" fontId="45"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2" fillId="0" borderId="0" xfId="21" applyFont="1" applyAlignment="1">
      <alignment horizontal="left"/>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3"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3" fillId="0" borderId="0" xfId="21" applyFont="1" applyBorder="1"/>
    <xf numFmtId="3" fontId="12" fillId="0" borderId="0" xfId="21" applyNumberFormat="1" applyFont="1" applyFill="1"/>
    <xf numFmtId="0" fontId="53"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0" fontId="24" fillId="0" borderId="15" xfId="21" applyFont="1" applyBorder="1"/>
    <xf numFmtId="3" fontId="24" fillId="0" borderId="15" xfId="21" applyNumberFormat="1" applyFont="1" applyBorder="1"/>
    <xf numFmtId="167" fontId="24" fillId="0" borderId="15" xfId="21" applyNumberFormat="1" applyFont="1" applyBorder="1"/>
    <xf numFmtId="164"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3" fillId="0" borderId="0" xfId="21" applyNumberFormat="1" applyFont="1"/>
    <xf numFmtId="10" fontId="62" fillId="0" borderId="0" xfId="36" applyNumberFormat="1" applyFont="1"/>
    <xf numFmtId="0" fontId="55" fillId="0" borderId="0" xfId="28" applyFont="1"/>
    <xf numFmtId="0" fontId="20" fillId="0" borderId="0" xfId="28" applyFont="1"/>
    <xf numFmtId="0" fontId="56" fillId="0" borderId="20" xfId="28" applyFont="1" applyBorder="1"/>
    <xf numFmtId="0" fontId="56" fillId="0" borderId="20" xfId="28" applyFont="1" applyBorder="1" applyAlignment="1">
      <alignment horizontal="center"/>
    </xf>
    <xf numFmtId="0" fontId="56" fillId="0" borderId="0" xfId="28" applyFont="1" applyBorder="1"/>
    <xf numFmtId="0" fontId="56" fillId="0" borderId="0" xfId="28" applyFont="1" applyBorder="1" applyAlignment="1">
      <alignment horizontal="center"/>
    </xf>
    <xf numFmtId="0" fontId="19" fillId="0" borderId="0" xfId="28"/>
    <xf numFmtId="167" fontId="20" fillId="0" borderId="0" xfId="28" applyNumberFormat="1" applyFont="1"/>
    <xf numFmtId="3" fontId="20" fillId="0" borderId="0" xfId="28" applyNumberFormat="1" applyFont="1"/>
    <xf numFmtId="0" fontId="19" fillId="0" borderId="0" xfId="28" applyAlignment="1">
      <alignment horizontal="left" indent="1"/>
    </xf>
    <xf numFmtId="3" fontId="20" fillId="0" borderId="0" xfId="28" applyNumberFormat="1" applyFont="1" applyFill="1"/>
    <xf numFmtId="0" fontId="56" fillId="0" borderId="15" xfId="28" applyFont="1" applyBorder="1"/>
    <xf numFmtId="167" fontId="56" fillId="0" borderId="15" xfId="28" applyNumberFormat="1" applyFont="1" applyBorder="1"/>
    <xf numFmtId="0" fontId="35" fillId="0" borderId="0" xfId="10" applyFont="1"/>
    <xf numFmtId="0" fontId="23" fillId="0" borderId="0" xfId="10" applyFont="1"/>
    <xf numFmtId="0" fontId="23" fillId="0" borderId="0" xfId="10" applyNumberFormat="1" applyFont="1" applyAlignment="1">
      <alignment horizontal="center"/>
    </xf>
    <xf numFmtId="0" fontId="23" fillId="0" borderId="0" xfId="10" applyFont="1" applyBorder="1"/>
    <xf numFmtId="0" fontId="25" fillId="0" borderId="0" xfId="10" applyFont="1" applyBorder="1"/>
    <xf numFmtId="0" fontId="24" fillId="0" borderId="0" xfId="10" applyFont="1" applyBorder="1" applyAlignment="1">
      <alignment horizontal="left"/>
    </xf>
    <xf numFmtId="0" fontId="25" fillId="0" borderId="0" xfId="10" applyFont="1" applyBorder="1" applyAlignment="1">
      <alignment horizontal="left"/>
    </xf>
    <xf numFmtId="0" fontId="25" fillId="0" borderId="19" xfId="10" applyFont="1" applyBorder="1" applyAlignment="1">
      <alignment horizontal="left"/>
    </xf>
    <xf numFmtId="0" fontId="25" fillId="0" borderId="1" xfId="10" applyFont="1" applyBorder="1" applyAlignment="1">
      <alignment horizontal="center"/>
    </xf>
    <xf numFmtId="0" fontId="25" fillId="0" borderId="1" xfId="10" applyNumberFormat="1" applyFont="1" applyBorder="1" applyAlignment="1">
      <alignment horizontal="center"/>
    </xf>
    <xf numFmtId="0" fontId="25" fillId="0" borderId="0" xfId="10" applyFont="1" applyAlignment="1">
      <alignment horizontal="center"/>
    </xf>
    <xf numFmtId="0" fontId="25" fillId="0" borderId="0" xfId="10" applyFont="1" applyBorder="1" applyAlignment="1">
      <alignment horizontal="center"/>
    </xf>
    <xf numFmtId="0" fontId="23" fillId="0" borderId="0" xfId="10" applyFont="1" applyFill="1"/>
    <xf numFmtId="167" fontId="23" fillId="0" borderId="0" xfId="10" applyNumberFormat="1" applyFont="1" applyFill="1"/>
    <xf numFmtId="167" fontId="23" fillId="0" borderId="0" xfId="6" applyNumberFormat="1" applyFont="1" applyFill="1"/>
    <xf numFmtId="0" fontId="23" fillId="0" borderId="0" xfId="10" applyNumberFormat="1" applyFont="1" applyFill="1" applyAlignment="1">
      <alignment horizontal="center"/>
    </xf>
    <xf numFmtId="10" fontId="23" fillId="0" borderId="0" xfId="38" applyNumberFormat="1" applyFont="1" applyFill="1"/>
    <xf numFmtId="0" fontId="23" fillId="0" borderId="0" xfId="10" applyFont="1" applyFill="1" applyBorder="1"/>
    <xf numFmtId="167" fontId="23" fillId="0" borderId="0" xfId="6" applyNumberFormat="1" applyFont="1" applyFill="1" applyBorder="1"/>
    <xf numFmtId="0" fontId="23" fillId="0" borderId="0" xfId="10" applyFont="1" applyFill="1" applyBorder="1" applyAlignment="1">
      <alignment horizontal="center"/>
    </xf>
    <xf numFmtId="169" fontId="23" fillId="0" borderId="0" xfId="10" applyNumberFormat="1" applyFont="1" applyFill="1" applyBorder="1"/>
    <xf numFmtId="3" fontId="23" fillId="0" borderId="0" xfId="10" applyNumberFormat="1" applyFont="1"/>
    <xf numFmtId="3" fontId="23" fillId="0" borderId="0" xfId="6" applyNumberFormat="1" applyFont="1"/>
    <xf numFmtId="3" fontId="23" fillId="0" borderId="0" xfId="6" applyNumberFormat="1" applyFont="1" applyBorder="1"/>
    <xf numFmtId="0" fontId="23" fillId="0" borderId="0" xfId="10" applyFont="1" applyBorder="1" applyAlignment="1">
      <alignment horizontal="center"/>
    </xf>
    <xf numFmtId="169" fontId="23" fillId="0" borderId="0" xfId="10" applyNumberFormat="1" applyFont="1" applyBorder="1"/>
    <xf numFmtId="3" fontId="23" fillId="0" borderId="0" xfId="10" applyNumberFormat="1" applyFont="1" applyFill="1"/>
    <xf numFmtId="3" fontId="23" fillId="0" borderId="0" xfId="6" applyNumberFormat="1" applyFont="1" applyFill="1"/>
    <xf numFmtId="3" fontId="23" fillId="0" borderId="0" xfId="6" applyNumberFormat="1" applyFont="1" applyFill="1" applyBorder="1"/>
    <xf numFmtId="5" fontId="23" fillId="0" borderId="0" xfId="6" applyNumberFormat="1" applyFont="1" applyBorder="1"/>
    <xf numFmtId="3" fontId="23" fillId="0" borderId="0" xfId="9" applyNumberFormat="1" applyFont="1"/>
    <xf numFmtId="0" fontId="23" fillId="0" borderId="0" xfId="9" applyNumberFormat="1" applyFont="1" applyAlignment="1">
      <alignment horizontal="center"/>
    </xf>
    <xf numFmtId="5" fontId="23" fillId="0" borderId="0" xfId="6" applyNumberFormat="1" applyFont="1" applyFill="1" applyBorder="1"/>
    <xf numFmtId="167" fontId="23" fillId="0" borderId="0" xfId="10" applyNumberFormat="1" applyFont="1"/>
    <xf numFmtId="167" fontId="23" fillId="0" borderId="0" xfId="6" applyNumberFormat="1" applyFont="1"/>
    <xf numFmtId="0" fontId="25" fillId="0" borderId="0" xfId="10" applyFont="1" applyFill="1" applyBorder="1"/>
    <xf numFmtId="3" fontId="23" fillId="0" borderId="0" xfId="10" applyNumberFormat="1" applyFont="1" applyBorder="1"/>
    <xf numFmtId="167" fontId="23" fillId="0" borderId="0" xfId="6" applyNumberFormat="1" applyFont="1" applyBorder="1"/>
    <xf numFmtId="5" fontId="23" fillId="0" borderId="0" xfId="6" applyNumberFormat="1" applyFont="1"/>
    <xf numFmtId="42" fontId="25" fillId="0" borderId="15" xfId="10" applyNumberFormat="1" applyFont="1" applyBorder="1" applyAlignment="1">
      <alignment horizontal="center"/>
    </xf>
    <xf numFmtId="167" fontId="25" fillId="0" borderId="15" xfId="10" applyNumberFormat="1" applyFont="1" applyBorder="1"/>
    <xf numFmtId="0" fontId="25" fillId="0" borderId="15" xfId="10" applyNumberFormat="1" applyFont="1" applyBorder="1" applyAlignment="1">
      <alignment horizontal="center"/>
    </xf>
    <xf numFmtId="42" fontId="25" fillId="0" borderId="0" xfId="10" applyNumberFormat="1" applyFont="1" applyFill="1"/>
    <xf numFmtId="42" fontId="25" fillId="0" borderId="0" xfId="10" applyNumberFormat="1" applyFont="1" applyBorder="1"/>
    <xf numFmtId="42" fontId="25" fillId="0" borderId="0" xfId="10" applyNumberFormat="1" applyFont="1" applyBorder="1" applyAlignment="1">
      <alignment horizontal="center"/>
    </xf>
    <xf numFmtId="167" fontId="25" fillId="0" borderId="0" xfId="10" applyNumberFormat="1" applyFont="1" applyBorder="1"/>
    <xf numFmtId="42" fontId="25" fillId="0" borderId="0" xfId="10" applyNumberFormat="1" applyFont="1"/>
    <xf numFmtId="167" fontId="23" fillId="0" borderId="0" xfId="10" applyNumberFormat="1" applyFont="1" applyBorder="1"/>
    <xf numFmtId="0" fontId="23" fillId="0" borderId="16" xfId="10" applyFont="1" applyBorder="1"/>
    <xf numFmtId="0" fontId="23" fillId="0" borderId="16" xfId="10" applyNumberFormat="1" applyFont="1" applyBorder="1" applyAlignment="1">
      <alignment horizontal="center"/>
    </xf>
    <xf numFmtId="0" fontId="25" fillId="0" borderId="0" xfId="10" applyFont="1" applyFill="1"/>
    <xf numFmtId="0" fontId="25" fillId="0" borderId="0" xfId="10" applyFont="1"/>
    <xf numFmtId="0" fontId="25" fillId="0" borderId="0" xfId="10" applyNumberFormat="1" applyFont="1" applyBorder="1" applyAlignment="1">
      <alignment horizontal="center"/>
    </xf>
    <xf numFmtId="0" fontId="25" fillId="0" borderId="19" xfId="10" applyFont="1" applyFill="1" applyBorder="1" applyAlignment="1">
      <alignment horizontal="left"/>
    </xf>
    <xf numFmtId="167" fontId="25" fillId="0" borderId="0" xfId="10" applyNumberFormat="1" applyFont="1" applyFill="1" applyBorder="1"/>
    <xf numFmtId="0" fontId="23" fillId="0" borderId="0" xfId="10" applyNumberFormat="1" applyFont="1" applyBorder="1" applyAlignment="1">
      <alignment horizontal="center"/>
    </xf>
    <xf numFmtId="42" fontId="25" fillId="0" borderId="15" xfId="10" applyNumberFormat="1" applyFont="1" applyBorder="1"/>
    <xf numFmtId="0" fontId="23" fillId="0" borderId="15" xfId="10" applyFont="1" applyBorder="1"/>
    <xf numFmtId="167" fontId="23" fillId="0" borderId="15" xfId="10" applyNumberFormat="1" applyFont="1" applyBorder="1"/>
    <xf numFmtId="0" fontId="23" fillId="0" borderId="15" xfId="10" applyNumberFormat="1" applyFont="1" applyBorder="1" applyAlignment="1">
      <alignment horizontal="center"/>
    </xf>
    <xf numFmtId="10" fontId="25" fillId="0" borderId="0" xfId="38" applyNumberFormat="1" applyFont="1"/>
    <xf numFmtId="0" fontId="24" fillId="0" borderId="0" xfId="10" applyFont="1"/>
    <xf numFmtId="10" fontId="24" fillId="0" borderId="0" xfId="38" applyNumberFormat="1" applyFont="1"/>
    <xf numFmtId="0" fontId="25" fillId="0" borderId="16" xfId="10" applyFont="1" applyBorder="1" applyAlignment="1">
      <alignment horizontal="center"/>
    </xf>
    <xf numFmtId="10" fontId="23" fillId="0" borderId="0" xfId="38" applyNumberFormat="1" applyFont="1"/>
    <xf numFmtId="167" fontId="23" fillId="0" borderId="0" xfId="9" applyNumberFormat="1" applyFont="1"/>
    <xf numFmtId="10" fontId="23" fillId="0" borderId="0" xfId="9" applyNumberFormat="1" applyFont="1"/>
    <xf numFmtId="3" fontId="23" fillId="0" borderId="0" xfId="9" applyNumberFormat="1" applyFont="1" applyFill="1"/>
    <xf numFmtId="10" fontId="23" fillId="0" borderId="0" xfId="9" applyNumberFormat="1" applyFont="1" applyFill="1"/>
    <xf numFmtId="0" fontId="12" fillId="0" borderId="0" xfId="10" applyFont="1"/>
    <xf numFmtId="10" fontId="12" fillId="0" borderId="0" xfId="38" applyNumberFormat="1" applyFont="1"/>
    <xf numFmtId="3" fontId="23" fillId="0" borderId="0" xfId="9" applyNumberFormat="1" applyFont="1" applyBorder="1"/>
    <xf numFmtId="10" fontId="23" fillId="0" borderId="0" xfId="9" applyNumberFormat="1" applyFont="1" applyBorder="1"/>
    <xf numFmtId="10" fontId="23" fillId="0" borderId="0" xfId="10" applyNumberFormat="1" applyFont="1" applyBorder="1"/>
    <xf numFmtId="0" fontId="25" fillId="0" borderId="15" xfId="10" applyFont="1" applyBorder="1"/>
    <xf numFmtId="10" fontId="25" fillId="0" borderId="15" xfId="38" applyNumberFormat="1" applyFont="1" applyBorder="1"/>
    <xf numFmtId="0" fontId="25" fillId="0" borderId="13" xfId="10" applyFont="1" applyBorder="1"/>
    <xf numFmtId="167" fontId="25" fillId="0" borderId="13" xfId="10" applyNumberFormat="1" applyFont="1" applyBorder="1"/>
    <xf numFmtId="10" fontId="25" fillId="0" borderId="13" xfId="38" applyNumberFormat="1" applyFont="1" applyBorder="1"/>
    <xf numFmtId="0" fontId="23" fillId="0" borderId="19" xfId="10" applyFont="1" applyBorder="1"/>
    <xf numFmtId="10" fontId="23" fillId="0" borderId="0" xfId="10" applyNumberFormat="1" applyFont="1"/>
    <xf numFmtId="167" fontId="25" fillId="0" borderId="0" xfId="10" applyNumberFormat="1" applyFont="1"/>
    <xf numFmtId="10" fontId="25" fillId="0" borderId="0" xfId="38" applyNumberFormat="1" applyFont="1" applyBorder="1"/>
    <xf numFmtId="0" fontId="35" fillId="0" borderId="0" xfId="10" applyFont="1" applyBorder="1"/>
    <xf numFmtId="3" fontId="25" fillId="0" borderId="0" xfId="10" applyNumberFormat="1" applyFont="1"/>
    <xf numFmtId="0" fontId="24" fillId="0" borderId="0" xfId="10" applyFont="1" applyAlignment="1">
      <alignment horizontal="left"/>
    </xf>
    <xf numFmtId="0" fontId="25" fillId="0" borderId="0" xfId="10" applyFont="1" applyAlignment="1">
      <alignment horizontal="left"/>
    </xf>
    <xf numFmtId="10" fontId="25" fillId="0" borderId="0" xfId="38" applyNumberFormat="1" applyFont="1" applyAlignment="1">
      <alignment horizontal="left"/>
    </xf>
    <xf numFmtId="10" fontId="25" fillId="0" borderId="0" xfId="38" applyNumberFormat="1" applyFont="1" applyBorder="1" applyAlignment="1">
      <alignment horizontal="left"/>
    </xf>
    <xf numFmtId="10" fontId="25" fillId="0" borderId="0" xfId="38" applyNumberFormat="1" applyFont="1" applyAlignment="1">
      <alignment horizontal="center"/>
    </xf>
    <xf numFmtId="0" fontId="25" fillId="0" borderId="1" xfId="10" applyFont="1" applyBorder="1"/>
    <xf numFmtId="3" fontId="25" fillId="0" borderId="1" xfId="10" applyNumberFormat="1" applyFont="1" applyBorder="1" applyAlignment="1">
      <alignment horizontal="center"/>
    </xf>
    <xf numFmtId="10" fontId="25" fillId="0" borderId="0" xfId="38" applyNumberFormat="1" applyFont="1" applyBorder="1" applyAlignment="1">
      <alignment horizontal="center"/>
    </xf>
    <xf numFmtId="167" fontId="23" fillId="0" borderId="0" xfId="9" quotePrefix="1" applyNumberFormat="1" applyFont="1" applyAlignment="1">
      <alignment horizontal="right"/>
    </xf>
    <xf numFmtId="167" fontId="23" fillId="0" borderId="0" xfId="10" applyNumberFormat="1" applyFont="1" applyAlignment="1">
      <alignment horizontal="right"/>
    </xf>
    <xf numFmtId="167" fontId="23" fillId="0" borderId="0" xfId="9" quotePrefix="1" applyNumberFormat="1" applyFont="1" applyBorder="1" applyAlignment="1">
      <alignment horizontal="right"/>
    </xf>
    <xf numFmtId="10" fontId="23" fillId="0" borderId="0" xfId="38" quotePrefix="1" applyNumberFormat="1" applyFont="1" applyBorder="1" applyAlignment="1">
      <alignment horizontal="right"/>
    </xf>
    <xf numFmtId="3" fontId="23" fillId="0" borderId="0" xfId="9" quotePrefix="1" applyNumberFormat="1" applyFont="1" applyAlignment="1">
      <alignment horizontal="right"/>
    </xf>
    <xf numFmtId="3" fontId="23" fillId="0" borderId="0" xfId="10" applyNumberFormat="1" applyFont="1" applyAlignment="1">
      <alignment horizontal="right"/>
    </xf>
    <xf numFmtId="3" fontId="23" fillId="0" borderId="0" xfId="9" quotePrefix="1" applyNumberFormat="1" applyFont="1" applyBorder="1" applyAlignment="1">
      <alignment horizontal="right"/>
    </xf>
    <xf numFmtId="0" fontId="23" fillId="0" borderId="0" xfId="10" applyFont="1" applyAlignment="1">
      <alignment horizontal="right"/>
    </xf>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3" fontId="23" fillId="0" borderId="0" xfId="9" applyNumberFormat="1" applyFont="1" applyAlignment="1">
      <alignment horizontal="right"/>
    </xf>
    <xf numFmtId="0" fontId="23" fillId="0" borderId="0" xfId="9" applyNumberFormat="1" applyFont="1"/>
    <xf numFmtId="0" fontId="23" fillId="0" borderId="0" xfId="9" quotePrefix="1" applyNumberFormat="1" applyFont="1" applyAlignment="1">
      <alignment horizontal="right"/>
    </xf>
    <xf numFmtId="0" fontId="23" fillId="0" borderId="0" xfId="9" applyFont="1"/>
    <xf numFmtId="0" fontId="23" fillId="0" borderId="0" xfId="9" applyNumberFormat="1" applyFont="1" applyAlignment="1">
      <alignment horizontal="left"/>
    </xf>
    <xf numFmtId="0" fontId="23" fillId="0" borderId="0" xfId="9" applyFont="1" applyAlignment="1">
      <alignment horizontal="right"/>
    </xf>
    <xf numFmtId="0" fontId="23" fillId="0" borderId="0" xfId="9" quotePrefix="1" applyNumberFormat="1" applyFont="1" applyBorder="1" applyAlignment="1">
      <alignment horizontal="right"/>
    </xf>
    <xf numFmtId="3" fontId="23" fillId="0" borderId="0" xfId="9" applyNumberFormat="1" applyFont="1" applyBorder="1" applyAlignment="1">
      <alignment horizontal="right"/>
    </xf>
    <xf numFmtId="10" fontId="23" fillId="0" borderId="0" xfId="38" applyNumberFormat="1" applyFont="1" applyAlignment="1">
      <alignment horizontal="right"/>
    </xf>
    <xf numFmtId="10" fontId="24" fillId="0" borderId="0" xfId="38" applyNumberFormat="1" applyFont="1" applyAlignment="1">
      <alignment horizontal="left"/>
    </xf>
    <xf numFmtId="10" fontId="24" fillId="0" borderId="0" xfId="38" applyNumberFormat="1" applyFont="1" applyBorder="1" applyAlignment="1">
      <alignment horizontal="left"/>
    </xf>
    <xf numFmtId="3" fontId="23" fillId="0" borderId="19" xfId="10" applyNumberFormat="1" applyFont="1" applyBorder="1"/>
    <xf numFmtId="10" fontId="23" fillId="0" borderId="0" xfId="38" applyNumberFormat="1" applyFont="1" applyBorder="1"/>
    <xf numFmtId="167" fontId="23" fillId="0" borderId="0" xfId="9" applyNumberFormat="1" applyFont="1" applyAlignment="1">
      <alignment horizontal="right"/>
    </xf>
    <xf numFmtId="10" fontId="23" fillId="0" borderId="0" xfId="38" applyNumberFormat="1" applyFont="1" applyBorder="1" applyAlignment="1">
      <alignment horizontal="left"/>
    </xf>
    <xf numFmtId="10" fontId="23" fillId="0" borderId="0" xfId="38" applyNumberFormat="1" applyFont="1" applyAlignment="1">
      <alignment horizontal="left"/>
    </xf>
    <xf numFmtId="0" fontId="24" fillId="0" borderId="0" xfId="10" applyFont="1" applyAlignment="1"/>
    <xf numFmtId="0" fontId="12" fillId="0" borderId="0" xfId="10" applyAlignment="1"/>
    <xf numFmtId="0" fontId="24" fillId="0" borderId="0" xfId="10" applyFont="1" applyAlignment="1">
      <alignment horizontal="center"/>
    </xf>
    <xf numFmtId="0" fontId="12" fillId="0" borderId="0" xfId="10" applyAlignment="1">
      <alignment horizontal="center"/>
    </xf>
    <xf numFmtId="0" fontId="24" fillId="0" borderId="1" xfId="10" applyFont="1" applyBorder="1" applyAlignment="1">
      <alignment horizontal="center"/>
    </xf>
    <xf numFmtId="0" fontId="12" fillId="0" borderId="0" xfId="10" applyFont="1" applyAlignment="1"/>
    <xf numFmtId="0" fontId="12" fillId="0" borderId="0" xfId="10" applyBorder="1" applyAlignment="1">
      <alignment horizontal="left"/>
    </xf>
    <xf numFmtId="167" fontId="12" fillId="0" borderId="0" xfId="10" applyNumberFormat="1" applyBorder="1" applyAlignment="1"/>
    <xf numFmtId="168" fontId="12" fillId="0" borderId="0" xfId="10" applyNumberFormat="1" applyAlignment="1"/>
    <xf numFmtId="3" fontId="12" fillId="0" borderId="0" xfId="10" applyNumberFormat="1" applyBorder="1" applyAlignment="1"/>
    <xf numFmtId="3" fontId="12" fillId="0" borderId="0" xfId="10" applyNumberFormat="1" applyFont="1" applyBorder="1" applyAlignment="1"/>
    <xf numFmtId="0" fontId="12" fillId="0" borderId="0" xfId="10" applyBorder="1" applyAlignment="1"/>
    <xf numFmtId="0" fontId="12" fillId="0" borderId="1" xfId="10" applyBorder="1" applyAlignment="1">
      <alignment horizontal="left"/>
    </xf>
    <xf numFmtId="3" fontId="12" fillId="0" borderId="1" xfId="10" applyNumberFormat="1" applyBorder="1" applyAlignment="1"/>
    <xf numFmtId="4" fontId="12" fillId="0" borderId="0" xfId="10" applyNumberFormat="1" applyBorder="1" applyAlignment="1"/>
    <xf numFmtId="4" fontId="12" fillId="0" borderId="1" xfId="10" applyNumberFormat="1" applyBorder="1" applyAlignment="1"/>
    <xf numFmtId="0" fontId="31" fillId="0" borderId="0" xfId="0" applyFont="1"/>
    <xf numFmtId="0" fontId="39"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2" fillId="0" borderId="0" xfId="8" applyNumberFormat="1" applyFont="1" applyFill="1" applyAlignment="1">
      <alignment horizontal="left"/>
    </xf>
    <xf numFmtId="0" fontId="32" fillId="0" borderId="0" xfId="8" applyNumberFormat="1" applyFont="1" applyAlignment="1"/>
    <xf numFmtId="0" fontId="3" fillId="0" borderId="0" xfId="8" applyNumberFormat="1" applyFont="1" applyAlignment="1"/>
    <xf numFmtId="0" fontId="5" fillId="0" borderId="0" xfId="8" applyNumberFormat="1" applyFont="1" applyAlignment="1"/>
    <xf numFmtId="0" fontId="58" fillId="0" borderId="0" xfId="8" applyNumberFormat="1" applyFont="1" applyFill="1" applyAlignment="1"/>
    <xf numFmtId="0" fontId="58" fillId="0" borderId="0" xfId="8" applyNumberFormat="1" applyFont="1" applyAlignment="1">
      <alignment horizontal="center"/>
    </xf>
    <xf numFmtId="0" fontId="6" fillId="0" borderId="0" xfId="8" applyNumberFormat="1" applyFont="1" applyFill="1" applyAlignment="1">
      <alignment horizontal="center"/>
    </xf>
    <xf numFmtId="0" fontId="32" fillId="0" borderId="0" xfId="8" applyNumberFormat="1" applyFont="1" applyFill="1" applyAlignment="1"/>
    <xf numFmtId="172" fontId="32" fillId="0" borderId="0" xfId="8" applyNumberFormat="1" applyFont="1" applyAlignment="1"/>
    <xf numFmtId="0" fontId="9" fillId="0" borderId="0" xfId="8" applyNumberFormat="1" applyFont="1" applyFill="1" applyAlignment="1">
      <alignment horizontal="left"/>
    </xf>
    <xf numFmtId="3" fontId="6" fillId="0" borderId="0" xfId="8" applyNumberFormat="1" applyFont="1" applyFill="1" applyAlignment="1">
      <alignment horizontal="center"/>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32" fillId="0" borderId="0" xfId="8" applyNumberFormat="1" applyFont="1" applyAlignment="1"/>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166" fontId="32" fillId="0" borderId="0" xfId="8" applyNumberFormat="1" applyFont="1" applyFill="1" applyAlignment="1">
      <alignment horizontal="left"/>
    </xf>
    <xf numFmtId="0" fontId="32" fillId="0" borderId="0" xfId="8" applyNumberFormat="1" applyFont="1" applyAlignment="1">
      <alignment horizontal="left"/>
    </xf>
    <xf numFmtId="0" fontId="59"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0" fontId="58" fillId="0" borderId="0" xfId="8" applyNumberFormat="1" applyFont="1" applyAlignment="1"/>
    <xf numFmtId="10" fontId="12" fillId="0" borderId="0" xfId="8" applyNumberFormat="1" applyFont="1" applyFill="1" applyAlignment="1"/>
    <xf numFmtId="1" fontId="32" fillId="0" borderId="0" xfId="8" applyNumberFormat="1" applyFont="1" applyAlignment="1"/>
    <xf numFmtId="4" fontId="32" fillId="0" borderId="0" xfId="8" applyNumberFormat="1" applyFont="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0" fontId="3" fillId="0" borderId="0" xfId="8" applyNumberFormat="1" applyFont="1" applyFill="1" applyAlignment="1">
      <alignment horizontal="left"/>
    </xf>
    <xf numFmtId="166" fontId="3" fillId="0" borderId="0" xfId="8" applyNumberFormat="1" applyFont="1" applyFill="1" applyAlignment="1">
      <alignment horizontal="left"/>
    </xf>
    <xf numFmtId="0" fontId="3" fillId="0" borderId="0" xfId="8" applyNumberFormat="1" applyFont="1" applyAlignment="1">
      <alignment horizontal="left"/>
    </xf>
    <xf numFmtId="0" fontId="63" fillId="0" borderId="0" xfId="8" applyNumberFormat="1" applyFont="1" applyAlignment="1"/>
    <xf numFmtId="3" fontId="63" fillId="0" borderId="0" xfId="8" applyNumberFormat="1" applyFont="1" applyAlignment="1"/>
    <xf numFmtId="0" fontId="64" fillId="0" borderId="0" xfId="8" applyNumberFormat="1" applyFont="1" applyAlignment="1"/>
    <xf numFmtId="0" fontId="65" fillId="0" borderId="0" xfId="8" applyNumberFormat="1" applyFont="1" applyAlignment="1">
      <alignment horizontal="center"/>
    </xf>
    <xf numFmtId="172" fontId="63" fillId="0" borderId="0" xfId="8" applyNumberFormat="1" applyFont="1" applyAlignment="1"/>
    <xf numFmtId="0" fontId="12" fillId="0" borderId="0" xfId="35" applyNumberFormat="1" applyFont="1" applyAlignment="1"/>
    <xf numFmtId="0" fontId="12" fillId="0" borderId="0" xfId="35" applyNumberFormat="1" applyFont="1" applyAlignment="1">
      <alignment horizontal="center"/>
    </xf>
    <xf numFmtId="3" fontId="12" fillId="0" borderId="0" xfId="35" applyNumberFormat="1" applyFont="1" applyAlignment="1">
      <alignment horizontal="right"/>
    </xf>
    <xf numFmtId="3" fontId="12" fillId="0" borderId="0" xfId="35" applyNumberFormat="1"/>
    <xf numFmtId="0" fontId="6" fillId="0" borderId="0" xfId="35" applyNumberFormat="1" applyFont="1" applyAlignment="1">
      <alignment horizontal="center"/>
    </xf>
    <xf numFmtId="3" fontId="12" fillId="0" borderId="0" xfId="35" applyNumberFormat="1" applyFont="1" applyAlignment="1"/>
    <xf numFmtId="0" fontId="6" fillId="0" borderId="0" xfId="35" applyNumberFormat="1" applyFont="1" applyAlignment="1"/>
    <xf numFmtId="0" fontId="12" fillId="0" borderId="0" xfId="35" applyNumberFormat="1"/>
    <xf numFmtId="169" fontId="12" fillId="0" borderId="0" xfId="35" applyNumberFormat="1" applyFont="1" applyAlignment="1"/>
    <xf numFmtId="164" fontId="6" fillId="0" borderId="0" xfId="35" applyNumberFormat="1" applyFont="1" applyAlignment="1">
      <alignment horizontal="right"/>
    </xf>
    <xf numFmtId="10" fontId="6" fillId="0" borderId="0" xfId="35" applyNumberFormat="1" applyFont="1" applyAlignment="1">
      <alignment horizontal="right"/>
    </xf>
    <xf numFmtId="3" fontId="6" fillId="0" borderId="0" xfId="35" applyNumberFormat="1" applyFont="1" applyAlignment="1">
      <alignment horizontal="right"/>
    </xf>
    <xf numFmtId="3" fontId="6" fillId="0" borderId="0" xfId="35" applyNumberFormat="1" applyFont="1" applyAlignment="1"/>
    <xf numFmtId="164" fontId="6" fillId="0" borderId="0" xfId="35" applyNumberFormat="1" applyFont="1" applyBorder="1" applyAlignment="1">
      <alignment horizontal="right"/>
    </xf>
    <xf numFmtId="10" fontId="6" fillId="0" borderId="0" xfId="35" applyNumberFormat="1" applyFont="1" applyBorder="1" applyAlignment="1">
      <alignment horizontal="right"/>
    </xf>
    <xf numFmtId="3" fontId="6" fillId="0" borderId="0" xfId="35" applyNumberFormat="1" applyFont="1" applyBorder="1" applyAlignment="1">
      <alignment horizontal="right"/>
    </xf>
    <xf numFmtId="0" fontId="6" fillId="0" borderId="0" xfId="35" applyNumberFormat="1" applyFont="1" applyBorder="1" applyAlignment="1"/>
    <xf numFmtId="3" fontId="12" fillId="0" borderId="0" xfId="35" applyNumberFormat="1" applyFont="1" applyBorder="1" applyAlignment="1"/>
    <xf numFmtId="177" fontId="12" fillId="0" borderId="0" xfId="22" applyNumberFormat="1" applyFont="1" applyFill="1" applyBorder="1" applyAlignment="1">
      <alignment horizontal="right" vertical="center"/>
    </xf>
    <xf numFmtId="176" fontId="12" fillId="0" borderId="0" xfId="22" applyNumberFormat="1" applyFont="1" applyFill="1" applyBorder="1" applyAlignment="1">
      <alignment horizontal="right" vertical="center"/>
    </xf>
    <xf numFmtId="167" fontId="12" fillId="0" borderId="0" xfId="35" applyNumberFormat="1"/>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0" fontId="6" fillId="0" borderId="1" xfId="35" applyNumberFormat="1" applyFont="1" applyBorder="1" applyAlignment="1">
      <alignment horizontal="center"/>
    </xf>
    <xf numFmtId="3" fontId="6" fillId="0" borderId="1" xfId="35" applyNumberFormat="1" applyFont="1" applyBorder="1" applyAlignment="1">
      <alignment horizontal="right"/>
    </xf>
    <xf numFmtId="3" fontId="6" fillId="0" borderId="1" xfId="35" applyNumberFormat="1" applyFont="1" applyBorder="1" applyAlignment="1">
      <alignment horizontal="center"/>
    </xf>
    <xf numFmtId="0" fontId="6" fillId="0" borderId="0" xfId="35" applyNumberFormat="1" applyFont="1" applyBorder="1" applyAlignment="1">
      <alignment horizontal="center"/>
    </xf>
    <xf numFmtId="0" fontId="6" fillId="0" borderId="16" xfId="35" applyNumberFormat="1" applyFont="1" applyBorder="1" applyAlignment="1">
      <alignment horizontal="center"/>
    </xf>
    <xf numFmtId="0" fontId="6" fillId="0" borderId="16" xfId="35" applyNumberFormat="1" applyFont="1" applyBorder="1" applyAlignment="1"/>
    <xf numFmtId="3" fontId="22" fillId="0" borderId="0" xfId="35" applyNumberFormat="1" applyFont="1" applyAlignment="1"/>
    <xf numFmtId="0" fontId="12" fillId="0" borderId="0" xfId="35" applyNumberFormat="1" applyFont="1" applyAlignment="1">
      <alignment horizontal="right"/>
    </xf>
    <xf numFmtId="167" fontId="12" fillId="0" borderId="0" xfId="35" applyNumberFormat="1" applyFont="1" applyAlignment="1"/>
    <xf numFmtId="167" fontId="12" fillId="0" borderId="0" xfId="35" applyNumberFormat="1" applyFont="1" applyAlignment="1">
      <alignment horizontal="right"/>
    </xf>
    <xf numFmtId="10" fontId="20" fillId="0" borderId="0" xfId="38" applyNumberFormat="1" applyFont="1"/>
    <xf numFmtId="0" fontId="12" fillId="0" borderId="0" xfId="35" applyFont="1"/>
    <xf numFmtId="0" fontId="6" fillId="0" borderId="0" xfId="35" applyNumberFormat="1" applyFont="1" applyBorder="1" applyAlignment="1">
      <alignment horizontal="right"/>
    </xf>
    <xf numFmtId="0" fontId="6" fillId="0" borderId="1" xfId="35" applyNumberFormat="1" applyFont="1" applyBorder="1" applyAlignment="1">
      <alignment horizontal="right"/>
    </xf>
    <xf numFmtId="0" fontId="6" fillId="0" borderId="16" xfId="35" applyNumberFormat="1" applyFont="1" applyBorder="1" applyAlignment="1">
      <alignment horizontal="right"/>
    </xf>
    <xf numFmtId="0" fontId="22" fillId="0" borderId="0" xfId="35" applyNumberFormat="1" applyFont="1" applyAlignment="1"/>
    <xf numFmtId="9" fontId="20" fillId="0" borderId="0" xfId="38" applyNumberFormat="1" applyFont="1"/>
    <xf numFmtId="169" fontId="20" fillId="0" borderId="0" xfId="38" applyNumberFormat="1" applyFont="1"/>
    <xf numFmtId="0" fontId="12" fillId="0" borderId="0" xfId="35"/>
    <xf numFmtId="179" fontId="6" fillId="0" borderId="0" xfId="36" applyNumberFormat="1" applyFont="1" applyBorder="1" applyAlignment="1">
      <alignment horizontal="right"/>
    </xf>
    <xf numFmtId="10" fontId="2" fillId="0" borderId="0" xfId="36" applyNumberFormat="1" applyFont="1" applyAlignment="1"/>
    <xf numFmtId="0" fontId="17" fillId="0" borderId="0" xfId="10" applyFont="1" applyAlignment="1"/>
    <xf numFmtId="167" fontId="0" fillId="0" borderId="0" xfId="0" applyNumberFormat="1" applyFont="1" applyAlignment="1"/>
    <xf numFmtId="0" fontId="0" fillId="0" borderId="0" xfId="0" applyNumberFormat="1" applyAlignment="1"/>
    <xf numFmtId="10" fontId="6" fillId="0" borderId="0" xfId="36" applyNumberFormat="1" applyFont="1" applyBorder="1" applyAlignment="1">
      <alignment horizontal="right"/>
    </xf>
    <xf numFmtId="3" fontId="6" fillId="0" borderId="0" xfId="35" applyNumberFormat="1" applyFont="1" applyAlignment="1"/>
    <xf numFmtId="0" fontId="22" fillId="0" borderId="0" xfId="40" applyFont="1" applyAlignment="1">
      <alignment horizontal="left"/>
    </xf>
    <xf numFmtId="0" fontId="2" fillId="0" borderId="0" xfId="40" applyAlignment="1">
      <alignment horizontal="centerContinuous"/>
    </xf>
    <xf numFmtId="0" fontId="2" fillId="0" borderId="0" xfId="40"/>
    <xf numFmtId="0" fontId="17" fillId="0" borderId="0" xfId="40" applyFont="1" applyAlignment="1">
      <alignment horizontal="left"/>
    </xf>
    <xf numFmtId="0" fontId="25" fillId="0" borderId="17" xfId="16" applyFont="1" applyBorder="1" applyAlignment="1" applyProtection="1">
      <alignment horizontal="left"/>
    </xf>
    <xf numFmtId="37" fontId="25" fillId="0" borderId="17" xfId="16" applyNumberFormat="1" applyFont="1" applyBorder="1" applyAlignment="1" applyProtection="1">
      <alignment horizontal="center"/>
    </xf>
    <xf numFmtId="0" fontId="23" fillId="0" borderId="0" xfId="16" applyFont="1" applyBorder="1" applyAlignment="1" applyProtection="1">
      <alignment horizontal="left"/>
    </xf>
    <xf numFmtId="0" fontId="2" fillId="0" borderId="0" xfId="40" applyFont="1"/>
    <xf numFmtId="167" fontId="23" fillId="0" borderId="0" xfId="40" applyNumberFormat="1" applyFont="1"/>
    <xf numFmtId="10" fontId="0" fillId="0" borderId="0" xfId="36" applyNumberFormat="1" applyFont="1"/>
    <xf numFmtId="167" fontId="2" fillId="0" borderId="0" xfId="40" applyNumberFormat="1"/>
    <xf numFmtId="3" fontId="23" fillId="0" borderId="0" xfId="40" applyNumberFormat="1" applyFont="1"/>
    <xf numFmtId="0" fontId="23" fillId="0" borderId="18" xfId="16" applyFont="1" applyBorder="1" applyAlignment="1" applyProtection="1">
      <alignment horizontal="left"/>
    </xf>
    <xf numFmtId="0" fontId="23" fillId="0" borderId="18" xfId="16" applyFont="1" applyBorder="1" applyProtection="1"/>
    <xf numFmtId="0" fontId="23" fillId="0" borderId="7" xfId="16" applyFont="1" applyBorder="1" applyAlignment="1" applyProtection="1">
      <alignment horizontal="left"/>
    </xf>
    <xf numFmtId="167" fontId="23" fillId="0" borderId="7" xfId="16" applyNumberFormat="1" applyFont="1" applyBorder="1" applyProtection="1"/>
    <xf numFmtId="167" fontId="23" fillId="0" borderId="0" xfId="16" applyNumberFormat="1" applyFont="1" applyProtection="1"/>
    <xf numFmtId="3" fontId="23" fillId="0" borderId="0" xfId="16" applyNumberFormat="1" applyFont="1" applyProtection="1"/>
    <xf numFmtId="3" fontId="23" fillId="0" borderId="0" xfId="16" applyNumberFormat="1" applyFont="1" applyAlignment="1" applyProtection="1">
      <alignment horizontal="right"/>
    </xf>
    <xf numFmtId="167" fontId="23" fillId="0" borderId="18" xfId="16" applyNumberFormat="1" applyFont="1" applyBorder="1" applyProtection="1"/>
    <xf numFmtId="0" fontId="39" fillId="0" borderId="8" xfId="16" applyFont="1" applyBorder="1" applyAlignment="1" applyProtection="1">
      <alignment horizontal="left"/>
    </xf>
    <xf numFmtId="167" fontId="23" fillId="0" borderId="8" xfId="16" applyNumberFormat="1" applyFont="1" applyBorder="1" applyProtection="1"/>
    <xf numFmtId="0" fontId="25" fillId="0" borderId="8" xfId="16" applyFont="1" applyBorder="1" applyAlignment="1" applyProtection="1">
      <alignment horizontal="left"/>
    </xf>
    <xf numFmtId="0" fontId="2" fillId="0" borderId="0" xfId="41"/>
    <xf numFmtId="44" fontId="0" fillId="0" borderId="0" xfId="3" applyFont="1"/>
    <xf numFmtId="168" fontId="2" fillId="0" borderId="0" xfId="40" applyNumberFormat="1"/>
    <xf numFmtId="0" fontId="62" fillId="0" borderId="0" xfId="41" applyFont="1"/>
    <xf numFmtId="168" fontId="62" fillId="0" borderId="0" xfId="3" applyNumberFormat="1" applyFont="1"/>
    <xf numFmtId="168" fontId="62" fillId="0" borderId="0" xfId="40" applyNumberFormat="1" applyFont="1"/>
    <xf numFmtId="3" fontId="66" fillId="0" borderId="0" xfId="0" applyNumberFormat="1" applyFont="1" applyFill="1" applyBorder="1" applyAlignment="1">
      <alignment horizontal="right" vertical="center"/>
    </xf>
    <xf numFmtId="171" fontId="2" fillId="0" borderId="0" xfId="13" applyNumberFormat="1"/>
    <xf numFmtId="169" fontId="12" fillId="0" borderId="0" xfId="36" applyNumberFormat="1" applyFont="1" applyProtection="1"/>
    <xf numFmtId="0" fontId="21" fillId="0" borderId="0" xfId="0" applyFont="1" applyAlignment="1">
      <alignment vertical="center"/>
    </xf>
    <xf numFmtId="37" fontId="17" fillId="4" borderId="0" xfId="17" applyNumberFormat="1" applyFont="1" applyFill="1" applyAlignment="1" applyProtection="1">
      <alignment horizontal="left"/>
    </xf>
    <xf numFmtId="0" fontId="17" fillId="0" borderId="0" xfId="10" applyFont="1" applyBorder="1" applyAlignment="1">
      <alignment horizontal="left"/>
    </xf>
    <xf numFmtId="10" fontId="45" fillId="0" borderId="0" xfId="36" applyNumberFormat="1" applyFont="1" applyAlignment="1">
      <alignment horizontal="right"/>
    </xf>
    <xf numFmtId="0" fontId="2" fillId="4" borderId="0" xfId="33" applyFont="1" applyFill="1" applyBorder="1" applyAlignment="1">
      <alignment horizontal="left"/>
    </xf>
    <xf numFmtId="0" fontId="67" fillId="0" borderId="0" xfId="29" applyFont="1"/>
    <xf numFmtId="169" fontId="12" fillId="0" borderId="8" xfId="14" applyNumberFormat="1" applyFont="1" applyFill="1" applyBorder="1" applyProtection="1"/>
    <xf numFmtId="0" fontId="17" fillId="0" borderId="1" xfId="0" applyFont="1" applyBorder="1" applyAlignment="1">
      <alignment horizontal="center" wrapText="1"/>
    </xf>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3" fontId="68" fillId="0" borderId="0" xfId="40" applyNumberFormat="1" applyFont="1" applyFill="1" applyBorder="1" applyAlignment="1">
      <alignment horizontal="right" vertical="center"/>
    </xf>
    <xf numFmtId="181" fontId="68" fillId="0" borderId="0" xfId="3" applyNumberFormat="1" applyFont="1" applyFill="1" applyBorder="1" applyAlignment="1">
      <alignment horizontal="righ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40" applyFont="1" applyBorder="1" applyAlignment="1">
      <alignment vertical="center" wrapText="1"/>
    </xf>
    <xf numFmtId="180" fontId="2" fillId="0" borderId="1" xfId="42" applyNumberFormat="1" applyFont="1" applyBorder="1" applyAlignment="1">
      <alignmen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68" fillId="0" borderId="0" xfId="40" applyFont="1" applyBorder="1" applyAlignment="1">
      <alignment horizontal="right" vertical="center"/>
    </xf>
    <xf numFmtId="0" fontId="2" fillId="0" borderId="1" xfId="40" applyFont="1" applyBorder="1" applyAlignment="1">
      <alignment horizontal="right" vertical="center" wrapText="1"/>
    </xf>
    <xf numFmtId="180" fontId="2" fillId="0" borderId="1" xfId="42" applyNumberFormat="1" applyFont="1" applyBorder="1" applyAlignment="1">
      <alignment horizontal="right" vertical="center" wrapText="1"/>
    </xf>
    <xf numFmtId="0" fontId="2" fillId="0" borderId="0" xfId="40" applyFont="1" applyBorder="1" applyAlignment="1">
      <alignment horizontal="right" vertical="center" wrapText="1"/>
    </xf>
    <xf numFmtId="180" fontId="2" fillId="0" borderId="0" xfId="42" applyNumberFormat="1" applyFont="1" applyBorder="1" applyAlignment="1">
      <alignment horizontal="right" vertical="center" wrapText="1"/>
    </xf>
    <xf numFmtId="0" fontId="2" fillId="0" borderId="0" xfId="0" applyFont="1" applyAlignment="1">
      <alignment vertical="center"/>
    </xf>
    <xf numFmtId="0" fontId="2" fillId="0" borderId="0" xfId="0" applyFont="1" applyAlignment="1">
      <alignment wrapText="1"/>
    </xf>
    <xf numFmtId="0" fontId="17" fillId="0" borderId="6" xfId="11" applyNumberFormat="1" applyFont="1" applyBorder="1" applyAlignment="1">
      <alignment horizontal="center"/>
    </xf>
    <xf numFmtId="164" fontId="17" fillId="0" borderId="6" xfId="11" applyNumberFormat="1" applyFont="1" applyBorder="1" applyAlignment="1">
      <alignment horizontal="left"/>
    </xf>
    <xf numFmtId="164" fontId="17" fillId="0" borderId="6" xfId="11" applyNumberFormat="1" applyFont="1" applyBorder="1" applyAlignment="1">
      <alignment horizontal="center"/>
    </xf>
    <xf numFmtId="0" fontId="2" fillId="0" borderId="0" xfId="11" applyNumberFormat="1" applyFont="1" applyAlignment="1"/>
    <xf numFmtId="0" fontId="17" fillId="0" borderId="0" xfId="11" applyNumberFormat="1" applyFont="1" applyAlignment="1">
      <alignment horizontal="center"/>
    </xf>
    <xf numFmtId="164" fontId="17" fillId="0" borderId="0" xfId="11" applyNumberFormat="1" applyFont="1" applyAlignment="1">
      <alignment horizontal="center"/>
    </xf>
    <xf numFmtId="0" fontId="17" fillId="0" borderId="1" xfId="11" applyNumberFormat="1" applyFont="1" applyBorder="1" applyAlignment="1">
      <alignment horizontal="center"/>
    </xf>
    <xf numFmtId="0" fontId="2" fillId="0" borderId="0" xfId="11" applyFont="1" applyBorder="1"/>
    <xf numFmtId="164" fontId="2" fillId="0" borderId="18" xfId="11" applyNumberFormat="1" applyFont="1" applyBorder="1" applyAlignment="1"/>
    <xf numFmtId="0" fontId="2" fillId="0" borderId="18" xfId="11" applyNumberFormat="1" applyFont="1" applyBorder="1" applyAlignment="1"/>
    <xf numFmtId="167" fontId="2" fillId="0" borderId="0" xfId="11" applyNumberFormat="1" applyFont="1"/>
    <xf numFmtId="167" fontId="2" fillId="0" borderId="0" xfId="34" applyNumberFormat="1" applyFont="1"/>
    <xf numFmtId="167" fontId="2" fillId="0" borderId="0" xfId="11" applyNumberFormat="1" applyFont="1" applyAlignment="1"/>
    <xf numFmtId="0" fontId="2" fillId="0" borderId="0" xfId="11" applyFont="1"/>
    <xf numFmtId="3" fontId="2" fillId="0" borderId="0" xfId="34" applyNumberFormat="1" applyFont="1"/>
    <xf numFmtId="3" fontId="2" fillId="0" borderId="0" xfId="11" applyNumberFormat="1" applyFont="1"/>
    <xf numFmtId="3" fontId="2" fillId="0" borderId="0" xfId="11" applyNumberFormat="1" applyFont="1" applyFill="1"/>
    <xf numFmtId="3" fontId="2" fillId="0" borderId="0" xfId="34" applyNumberFormat="1" applyFont="1" applyBorder="1"/>
    <xf numFmtId="0" fontId="17" fillId="0" borderId="6" xfId="11" applyNumberFormat="1" applyFont="1" applyBorder="1" applyAlignment="1"/>
    <xf numFmtId="164" fontId="17" fillId="0" borderId="18" xfId="11" applyNumberFormat="1" applyFont="1" applyBorder="1" applyAlignment="1">
      <alignment horizontal="center"/>
    </xf>
    <xf numFmtId="164" fontId="2" fillId="0" borderId="18" xfId="11" applyNumberFormat="1" applyFont="1" applyBorder="1" applyAlignment="1">
      <alignment horizontal="center"/>
    </xf>
    <xf numFmtId="3" fontId="2" fillId="0" borderId="0" xfId="11" applyNumberFormat="1" applyFont="1" applyBorder="1"/>
    <xf numFmtId="0" fontId="17" fillId="0" borderId="15" xfId="11" applyNumberFormat="1" applyFont="1" applyBorder="1" applyAlignment="1"/>
    <xf numFmtId="167" fontId="17" fillId="0" borderId="15" xfId="11" applyNumberFormat="1" applyFont="1" applyBorder="1"/>
    <xf numFmtId="0" fontId="17" fillId="0" borderId="0" xfId="11" applyNumberFormat="1" applyFont="1" applyAlignment="1"/>
    <xf numFmtId="0" fontId="17" fillId="0" borderId="0" xfId="11" applyNumberFormat="1" applyFont="1" applyBorder="1" applyAlignment="1"/>
    <xf numFmtId="164" fontId="17" fillId="0" borderId="0" xfId="11" applyNumberFormat="1" applyFont="1" applyBorder="1" applyAlignment="1"/>
    <xf numFmtId="0" fontId="2" fillId="0" borderId="0" xfId="11" applyNumberFormat="1" applyFont="1" applyBorder="1" applyAlignment="1"/>
    <xf numFmtId="164" fontId="2" fillId="0" borderId="0" xfId="11" applyNumberFormat="1" applyFont="1" applyBorder="1" applyAlignment="1"/>
    <xf numFmtId="167" fontId="17" fillId="0" borderId="0" xfId="11" applyNumberFormat="1" applyFont="1"/>
    <xf numFmtId="167" fontId="17" fillId="0" borderId="1" xfId="11" applyNumberFormat="1" applyFont="1" applyBorder="1"/>
    <xf numFmtId="3" fontId="2" fillId="0" borderId="0" xfId="11" applyNumberFormat="1" applyFont="1" applyAlignment="1"/>
    <xf numFmtId="3" fontId="2" fillId="0" borderId="0" xfId="11" applyNumberFormat="1" applyFont="1" applyBorder="1" applyAlignment="1"/>
    <xf numFmtId="0" fontId="17" fillId="0" borderId="20" xfId="11" applyNumberFormat="1" applyFont="1" applyBorder="1" applyAlignment="1"/>
    <xf numFmtId="0" fontId="17" fillId="0" borderId="21" xfId="11" applyNumberFormat="1" applyFont="1" applyBorder="1" applyAlignment="1">
      <alignment horizontal="center"/>
    </xf>
    <xf numFmtId="3" fontId="17" fillId="0" borderId="21" xfId="11" applyNumberFormat="1" applyFont="1" applyBorder="1" applyAlignment="1">
      <alignment horizontal="center"/>
    </xf>
    <xf numFmtId="0" fontId="16" fillId="0" borderId="20" xfId="11" applyNumberFormat="1" applyFont="1" applyBorder="1" applyAlignment="1">
      <alignment horizontal="left"/>
    </xf>
    <xf numFmtId="0" fontId="16" fillId="0" borderId="20" xfId="11" applyNumberFormat="1" applyFont="1" applyBorder="1" applyAlignment="1">
      <alignment horizontal="center"/>
    </xf>
    <xf numFmtId="0" fontId="10" fillId="0" borderId="20" xfId="11" applyNumberFormat="1" applyFont="1" applyBorder="1" applyAlignment="1">
      <alignment horizontal="left"/>
    </xf>
    <xf numFmtId="0" fontId="17" fillId="0" borderId="13" xfId="11" applyNumberFormat="1" applyFont="1" applyBorder="1" applyAlignment="1">
      <alignment horizontal="center"/>
    </xf>
    <xf numFmtId="3" fontId="17" fillId="0" borderId="13" xfId="11" applyNumberFormat="1" applyFont="1" applyBorder="1" applyAlignment="1"/>
    <xf numFmtId="0" fontId="17" fillId="0" borderId="13" xfId="11" applyNumberFormat="1" applyFont="1" applyBorder="1" applyAlignment="1"/>
    <xf numFmtId="3" fontId="17" fillId="0" borderId="22" xfId="11" applyNumberFormat="1" applyFont="1" applyBorder="1" applyAlignment="1"/>
    <xf numFmtId="3" fontId="17" fillId="0" borderId="13" xfId="11" applyNumberFormat="1" applyFont="1" applyBorder="1" applyAlignment="1">
      <alignment horizontal="center"/>
    </xf>
    <xf numFmtId="3" fontId="17" fillId="0" borderId="23" xfId="11" applyNumberFormat="1" applyFont="1" applyBorder="1" applyAlignment="1">
      <alignment horizontal="center"/>
    </xf>
    <xf numFmtId="3" fontId="17" fillId="0" borderId="1" xfId="11" applyNumberFormat="1" applyFont="1" applyBorder="1" applyAlignment="1">
      <alignment horizontal="center"/>
    </xf>
    <xf numFmtId="3" fontId="17" fillId="0" borderId="24" xfId="11" applyNumberFormat="1" applyFont="1" applyBorder="1" applyAlignment="1">
      <alignment horizontal="center"/>
    </xf>
    <xf numFmtId="3" fontId="17" fillId="0" borderId="25" xfId="11" applyNumberFormat="1" applyFont="1" applyBorder="1" applyAlignment="1">
      <alignment horizontal="center"/>
    </xf>
    <xf numFmtId="3" fontId="2" fillId="0" borderId="26" xfId="11" applyNumberFormat="1" applyFont="1" applyBorder="1" applyAlignment="1"/>
    <xf numFmtId="3" fontId="2" fillId="0" borderId="27" xfId="11" applyNumberFormat="1" applyFont="1" applyBorder="1" applyAlignment="1"/>
    <xf numFmtId="167" fontId="2" fillId="0" borderId="0" xfId="11" applyNumberFormat="1" applyFont="1" applyBorder="1"/>
    <xf numFmtId="3" fontId="2" fillId="0" borderId="26" xfId="11" applyNumberFormat="1" applyFont="1" applyBorder="1"/>
    <xf numFmtId="3" fontId="2" fillId="0" borderId="27" xfId="11" applyNumberFormat="1" applyFont="1" applyBorder="1"/>
    <xf numFmtId="0" fontId="17" fillId="0" borderId="20" xfId="11" applyNumberFormat="1" applyFont="1" applyBorder="1" applyAlignment="1">
      <alignment horizontal="center"/>
    </xf>
    <xf numFmtId="0" fontId="17" fillId="0" borderId="0" xfId="11" applyNumberFormat="1" applyFont="1" applyBorder="1" applyAlignment="1">
      <alignment horizontal="center"/>
    </xf>
    <xf numFmtId="3" fontId="17" fillId="0" borderId="0" xfId="11" applyNumberFormat="1" applyFont="1" applyBorder="1" applyAlignment="1"/>
    <xf numFmtId="3" fontId="17" fillId="0" borderId="26" xfId="11" applyNumberFormat="1" applyFont="1" applyBorder="1" applyAlignment="1"/>
    <xf numFmtId="3" fontId="17" fillId="0" borderId="0" xfId="11" applyNumberFormat="1" applyFont="1" applyBorder="1" applyAlignment="1">
      <alignment horizontal="center"/>
    </xf>
    <xf numFmtId="3" fontId="17" fillId="0" borderId="27" xfId="11" applyNumberFormat="1" applyFont="1" applyBorder="1" applyAlignment="1">
      <alignment horizontal="center"/>
    </xf>
    <xf numFmtId="3" fontId="2" fillId="0" borderId="0" xfId="11" applyNumberFormat="1" applyFont="1" applyAlignment="1">
      <alignment horizontal="right"/>
    </xf>
    <xf numFmtId="3" fontId="17" fillId="0" borderId="26" xfId="11" applyNumberFormat="1" applyFont="1" applyBorder="1" applyAlignment="1">
      <alignment horizontal="center"/>
    </xf>
    <xf numFmtId="3" fontId="2" fillId="0" borderId="1" xfId="11" applyNumberFormat="1" applyFont="1" applyBorder="1"/>
    <xf numFmtId="3" fontId="2" fillId="0" borderId="24" xfId="11" applyNumberFormat="1" applyFont="1" applyBorder="1"/>
    <xf numFmtId="3" fontId="2" fillId="0" borderId="25" xfId="11" applyNumberFormat="1" applyFont="1" applyBorder="1"/>
    <xf numFmtId="3" fontId="17" fillId="0" borderId="15" xfId="11" applyNumberFormat="1" applyFont="1" applyBorder="1"/>
    <xf numFmtId="167" fontId="17" fillId="0" borderId="28" xfId="11" applyNumberFormat="1" applyFont="1" applyBorder="1"/>
    <xf numFmtId="3" fontId="17" fillId="0" borderId="29" xfId="11" applyNumberFormat="1" applyFont="1" applyBorder="1"/>
    <xf numFmtId="3" fontId="17" fillId="0" borderId="28" xfId="11" applyNumberFormat="1" applyFont="1" applyBorder="1"/>
    <xf numFmtId="3" fontId="2" fillId="0" borderId="13" xfId="11" applyNumberFormat="1" applyFont="1" applyBorder="1" applyAlignment="1"/>
    <xf numFmtId="3" fontId="2" fillId="0" borderId="22" xfId="11" applyNumberFormat="1" applyFont="1" applyBorder="1" applyAlignment="1"/>
    <xf numFmtId="3" fontId="2" fillId="0" borderId="23" xfId="11" applyNumberFormat="1" applyFont="1" applyBorder="1" applyAlignment="1"/>
    <xf numFmtId="164" fontId="2" fillId="0" borderId="1" xfId="11" applyNumberFormat="1" applyFont="1" applyFill="1" applyBorder="1" applyAlignment="1"/>
    <xf numFmtId="0" fontId="2" fillId="0" borderId="1" xfId="11" applyNumberFormat="1" applyFont="1" applyBorder="1" applyAlignment="1"/>
    <xf numFmtId="0" fontId="2" fillId="0" borderId="25" xfId="11" applyNumberFormat="1" applyFont="1" applyBorder="1" applyAlignment="1"/>
    <xf numFmtId="0" fontId="2" fillId="0" borderId="24" xfId="11" applyNumberFormat="1" applyFont="1" applyBorder="1" applyAlignment="1"/>
    <xf numFmtId="3" fontId="2" fillId="0" borderId="1" xfId="11" applyNumberFormat="1" applyFont="1" applyBorder="1" applyAlignment="1"/>
    <xf numFmtId="3" fontId="17" fillId="0" borderId="0" xfId="11" applyNumberFormat="1" applyFont="1" applyBorder="1"/>
    <xf numFmtId="167" fontId="17" fillId="0" borderId="25" xfId="11" applyNumberFormat="1" applyFont="1" applyBorder="1"/>
    <xf numFmtId="167" fontId="17" fillId="0" borderId="13" xfId="11" applyNumberFormat="1" applyFont="1" applyBorder="1"/>
    <xf numFmtId="3" fontId="17" fillId="0" borderId="15" xfId="11" applyNumberFormat="1" applyFont="1" applyBorder="1" applyAlignment="1"/>
    <xf numFmtId="3" fontId="17" fillId="0" borderId="26" xfId="11" applyNumberFormat="1" applyFont="1" applyBorder="1"/>
    <xf numFmtId="167" fontId="17" fillId="0" borderId="0" xfId="11" applyNumberFormat="1" applyFont="1" applyBorder="1"/>
    <xf numFmtId="3" fontId="17" fillId="0" borderId="27" xfId="11" applyNumberFormat="1" applyFont="1" applyBorder="1"/>
    <xf numFmtId="37" fontId="45" fillId="0" borderId="0" xfId="29" applyNumberFormat="1" applyFill="1"/>
    <xf numFmtId="3" fontId="12" fillId="0" borderId="0" xfId="11" applyNumberFormat="1" applyFont="1" applyFill="1"/>
    <xf numFmtId="3" fontId="12" fillId="0" borderId="0" xfId="11" applyNumberFormat="1" applyFont="1" applyFill="1" applyBorder="1"/>
    <xf numFmtId="167" fontId="12" fillId="0" borderId="0" xfId="11" applyNumberFormat="1" applyFont="1" applyFill="1"/>
    <xf numFmtId="3" fontId="2" fillId="0" borderId="0" xfId="11" applyNumberFormat="1" applyFont="1" applyFill="1" applyBorder="1"/>
    <xf numFmtId="3" fontId="45" fillId="0" borderId="0" xfId="25" applyNumberFormat="1" applyFill="1" applyAlignment="1">
      <alignment horizontal="right"/>
    </xf>
    <xf numFmtId="3" fontId="45" fillId="0" borderId="0" xfId="25" applyNumberFormat="1" applyFill="1"/>
    <xf numFmtId="37" fontId="2" fillId="0" borderId="0" xfId="16" quotePrefix="1" applyNumberFormat="1" applyFont="1" applyProtection="1"/>
    <xf numFmtId="5" fontId="36" fillId="0" borderId="8" xfId="17" applyNumberFormat="1" applyFont="1" applyFill="1" applyBorder="1" applyProtection="1"/>
    <xf numFmtId="10" fontId="20" fillId="0" borderId="0" xfId="36" applyNumberFormat="1" applyFont="1"/>
    <xf numFmtId="3" fontId="2" fillId="0" borderId="0" xfId="34" applyNumberFormat="1" applyFont="1" applyFill="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0" fontId="2" fillId="4" borderId="0" xfId="32" applyFont="1" applyFill="1"/>
    <xf numFmtId="44" fontId="12" fillId="4" borderId="0" xfId="32" applyNumberFormat="1" applyFont="1" applyFill="1"/>
    <xf numFmtId="44" fontId="2" fillId="5" borderId="0" xfId="3" applyFont="1" applyFill="1"/>
    <xf numFmtId="169" fontId="2" fillId="5" borderId="0" xfId="36" applyNumberFormat="1" applyFont="1" applyFill="1"/>
    <xf numFmtId="167" fontId="23" fillId="0" borderId="0" xfId="3" applyNumberFormat="1" applyFont="1" applyFill="1"/>
    <xf numFmtId="3" fontId="23" fillId="0" borderId="0" xfId="3" applyNumberFormat="1" applyFont="1"/>
    <xf numFmtId="3" fontId="23" fillId="0" borderId="0" xfId="3" applyNumberFormat="1" applyFont="1" applyFill="1"/>
    <xf numFmtId="3" fontId="23" fillId="0" borderId="0" xfId="0" applyNumberFormat="1" applyFont="1"/>
    <xf numFmtId="0" fontId="23" fillId="0" borderId="0" xfId="0" applyNumberFormat="1" applyFont="1" applyAlignment="1">
      <alignment horizontal="center"/>
    </xf>
    <xf numFmtId="167" fontId="23" fillId="0" borderId="0" xfId="3" applyNumberFormat="1" applyFont="1"/>
    <xf numFmtId="10" fontId="23" fillId="0" borderId="0" xfId="10" applyNumberFormat="1" applyFont="1" applyFill="1"/>
    <xf numFmtId="3" fontId="3" fillId="0" borderId="0" xfId="8" quotePrefix="1" applyNumberFormat="1" applyFont="1" applyFill="1" applyAlignment="1"/>
    <xf numFmtId="0" fontId="85" fillId="0" borderId="0" xfId="8" applyNumberFormat="1" applyFont="1" applyAlignment="1"/>
    <xf numFmtId="0" fontId="85" fillId="0" borderId="0" xfId="8" applyNumberFormat="1" applyFont="1" applyAlignment="1">
      <alignment horizontal="left"/>
    </xf>
    <xf numFmtId="10" fontId="63" fillId="0" borderId="0" xfId="36" applyNumberFormat="1" applyFont="1" applyAlignment="1"/>
    <xf numFmtId="2" fontId="14" fillId="0" borderId="0" xfId="0" applyNumberFormat="1" applyFont="1" applyFill="1" applyAlignment="1"/>
    <xf numFmtId="2" fontId="2" fillId="0" borderId="0" xfId="0" applyNumberFormat="1" applyFont="1" applyFill="1" applyAlignment="1"/>
    <xf numFmtId="0" fontId="17" fillId="0" borderId="0" xfId="0" applyFont="1" applyFill="1"/>
    <xf numFmtId="0" fontId="23" fillId="0" borderId="0" xfId="0" applyFont="1" applyFill="1"/>
    <xf numFmtId="10" fontId="20" fillId="0" borderId="0" xfId="36" applyNumberFormat="1" applyFont="1" applyFill="1"/>
    <xf numFmtId="3" fontId="2" fillId="0" borderId="0" xfId="0" applyNumberFormat="1" applyFont="1"/>
    <xf numFmtId="3" fontId="2" fillId="0" borderId="0" xfId="21" applyNumberFormat="1" applyFont="1" applyAlignment="1">
      <alignment horizontal="right"/>
    </xf>
    <xf numFmtId="3" fontId="2" fillId="0" borderId="0" xfId="21" applyNumberFormat="1" applyFont="1" applyFill="1" applyBorder="1" applyAlignment="1">
      <alignment horizontal="right"/>
    </xf>
    <xf numFmtId="0" fontId="12" fillId="5" borderId="0" xfId="33" applyFont="1" applyFill="1" applyBorder="1"/>
    <xf numFmtId="3" fontId="12" fillId="5" borderId="0" xfId="33" applyNumberFormat="1" applyFont="1" applyFill="1" applyBorder="1" applyAlignment="1"/>
    <xf numFmtId="168" fontId="12" fillId="0" borderId="0" xfId="10" applyNumberFormat="1" applyBorder="1" applyAlignment="1"/>
    <xf numFmtId="0" fontId="2" fillId="0" borderId="0" xfId="14" applyFont="1" applyProtection="1"/>
    <xf numFmtId="167" fontId="2" fillId="0" borderId="0" xfId="0" applyNumberFormat="1" applyFont="1" applyFill="1" applyAlignment="1"/>
    <xf numFmtId="167" fontId="2" fillId="0" borderId="0" xfId="0" applyNumberFormat="1" applyFont="1" applyAlignment="1"/>
    <xf numFmtId="167" fontId="12" fillId="4" borderId="0" xfId="33" applyNumberFormat="1" applyFont="1" applyFill="1" applyBorder="1" applyAlignment="1"/>
    <xf numFmtId="0" fontId="22" fillId="0" borderId="0" xfId="85" applyFont="1" applyFill="1" applyAlignment="1"/>
    <xf numFmtId="0" fontId="20" fillId="0" borderId="0" xfId="85" applyFont="1" applyFill="1"/>
    <xf numFmtId="0" fontId="6" fillId="0" borderId="0" xfId="85" applyFont="1" applyFill="1" applyAlignment="1"/>
    <xf numFmtId="0" fontId="19" fillId="0" borderId="0" xfId="85" applyFill="1"/>
    <xf numFmtId="0" fontId="19" fillId="0" borderId="0" xfId="85" applyFill="1" applyAlignment="1">
      <alignment horizontal="center"/>
    </xf>
    <xf numFmtId="0" fontId="20" fillId="0" borderId="0" xfId="85" applyFont="1" applyFill="1" applyAlignment="1">
      <alignment wrapText="1"/>
    </xf>
    <xf numFmtId="0" fontId="19" fillId="0" borderId="0" xfId="85" applyFill="1" applyAlignment="1">
      <alignment wrapText="1"/>
    </xf>
    <xf numFmtId="0" fontId="19" fillId="0" borderId="0" xfId="85" applyFill="1" applyAlignment="1">
      <alignment horizontal="center" wrapText="1"/>
    </xf>
    <xf numFmtId="0" fontId="19" fillId="0" borderId="0" xfId="85" applyFill="1" applyAlignment="1">
      <alignment horizontal="right"/>
    </xf>
    <xf numFmtId="0" fontId="20" fillId="0" borderId="0" xfId="85" applyFont="1" applyFill="1" applyAlignment="1"/>
    <xf numFmtId="0" fontId="3" fillId="0" borderId="0" xfId="85" applyFont="1" applyFill="1"/>
    <xf numFmtId="0" fontId="3" fillId="0" borderId="0" xfId="85" applyFont="1" applyFill="1" applyAlignment="1">
      <alignment wrapText="1"/>
    </xf>
    <xf numFmtId="3" fontId="19" fillId="0" borderId="0" xfId="85" applyNumberFormat="1" applyFill="1"/>
    <xf numFmtId="0" fontId="19" fillId="0" borderId="0" xfId="85" applyFont="1" applyFill="1" applyBorder="1" applyAlignment="1">
      <alignment vertical="center" wrapText="1"/>
    </xf>
    <xf numFmtId="0" fontId="86" fillId="0" borderId="0" xfId="85" applyFont="1" applyFill="1" applyAlignment="1">
      <alignment horizontal="center"/>
    </xf>
    <xf numFmtId="0" fontId="86" fillId="0" borderId="0" xfId="85" applyFont="1" applyFill="1" applyAlignment="1">
      <alignment horizontal="right"/>
    </xf>
    <xf numFmtId="167" fontId="86" fillId="0" borderId="0" xfId="85" applyNumberFormat="1" applyFont="1" applyFill="1"/>
    <xf numFmtId="3" fontId="86" fillId="0" borderId="0" xfId="85" applyNumberFormat="1" applyFont="1" applyFill="1"/>
    <xf numFmtId="0" fontId="19" fillId="0" borderId="0" xfId="85" applyFont="1" applyFill="1" applyBorder="1" applyAlignment="1">
      <alignment vertical="top" wrapText="1"/>
    </xf>
    <xf numFmtId="0" fontId="2" fillId="0" borderId="0" xfId="35" applyNumberFormat="1" applyFont="1" applyAlignment="1"/>
    <xf numFmtId="0" fontId="26" fillId="0" borderId="0" xfId="0" applyFont="1" applyBorder="1" applyAlignment="1">
      <alignment horizontal="center"/>
    </xf>
    <xf numFmtId="0" fontId="43" fillId="0" borderId="0" xfId="0" applyFont="1" applyBorder="1" applyAlignment="1">
      <alignment horizontal="center"/>
    </xf>
    <xf numFmtId="0" fontId="12" fillId="0" borderId="0" xfId="8" applyNumberFormat="1" applyFont="1" applyFill="1" applyAlignment="1">
      <alignment horizontal="left" vertical="center" wrapText="1"/>
    </xf>
    <xf numFmtId="3" fontId="6" fillId="0" borderId="0" xfId="35" applyNumberFormat="1" applyFont="1" applyAlignment="1"/>
    <xf numFmtId="0" fontId="17" fillId="0" borderId="20" xfId="11" applyNumberFormat="1" applyFont="1" applyBorder="1" applyAlignment="1">
      <alignment horizontal="center"/>
    </xf>
    <xf numFmtId="3" fontId="17" fillId="0" borderId="30" xfId="11" applyNumberFormat="1" applyFont="1" applyBorder="1" applyAlignment="1">
      <alignment horizontal="center"/>
    </xf>
    <xf numFmtId="3" fontId="17" fillId="0" borderId="20" xfId="11" applyNumberFormat="1" applyFont="1" applyBorder="1" applyAlignment="1">
      <alignment horizontal="center"/>
    </xf>
    <xf numFmtId="0" fontId="45" fillId="0" borderId="0" xfId="25" applyAlignment="1"/>
    <xf numFmtId="0" fontId="24" fillId="0" borderId="30" xfId="20" applyFont="1" applyBorder="1" applyAlignment="1">
      <alignment horizontal="center"/>
    </xf>
    <xf numFmtId="0" fontId="24" fillId="0" borderId="20" xfId="20" applyFont="1" applyBorder="1" applyAlignment="1">
      <alignment horizontal="center"/>
    </xf>
    <xf numFmtId="0" fontId="12" fillId="0" borderId="0" xfId="20" applyFont="1" applyAlignment="1">
      <alignment horizontal="left" wrapText="1"/>
    </xf>
    <xf numFmtId="0" fontId="12" fillId="0" borderId="0" xfId="20" applyFont="1" applyBorder="1" applyAlignment="1">
      <alignment horizontal="left" wrapText="1"/>
    </xf>
    <xf numFmtId="0" fontId="45" fillId="0" borderId="0" xfId="25" applyFont="1" applyAlignment="1"/>
    <xf numFmtId="0" fontId="3" fillId="0" borderId="0" xfId="24" applyBorder="1" applyAlignment="1"/>
    <xf numFmtId="0" fontId="45"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45" fillId="0" borderId="13" xfId="25" applyBorder="1" applyAlignment="1"/>
    <xf numFmtId="0" fontId="54" fillId="0" borderId="0" xfId="21" applyFont="1" applyFill="1" applyAlignment="1">
      <alignment horizontal="left" wrapText="1"/>
    </xf>
    <xf numFmtId="0" fontId="12"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2" fillId="0" borderId="0" xfId="21" applyFont="1" applyAlignment="1">
      <alignment horizontal="left" wrapText="1"/>
    </xf>
    <xf numFmtId="0" fontId="12" fillId="0" borderId="0" xfId="21" applyFont="1" applyAlignment="1">
      <alignment wrapText="1"/>
    </xf>
    <xf numFmtId="37" fontId="24"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0" applyNumberFormat="1" applyFont="1" applyFill="1" applyBorder="1" applyAlignment="1">
      <alignment vertical="center" wrapText="1"/>
    </xf>
    <xf numFmtId="0" fontId="2" fillId="0" borderId="0" xfId="0" applyFont="1" applyAlignment="1">
      <alignment wrapText="1"/>
    </xf>
    <xf numFmtId="0" fontId="68" fillId="0" borderId="0" xfId="40" applyFont="1" applyAlignment="1">
      <alignment horizontal="left" wrapText="1"/>
    </xf>
    <xf numFmtId="0" fontId="2" fillId="0" borderId="0" xfId="0" applyNumberFormat="1" applyFont="1" applyFill="1" applyBorder="1" applyAlignment="1">
      <alignment horizontal="left" vertical="center" wrapText="1"/>
    </xf>
    <xf numFmtId="0" fontId="24" fillId="0" borderId="17" xfId="16" applyFont="1" applyBorder="1" applyAlignment="1">
      <alignment horizontal="center"/>
    </xf>
    <xf numFmtId="0" fontId="23" fillId="0" borderId="0" xfId="16" applyFont="1" applyAlignment="1">
      <alignment horizontal="left" wrapText="1"/>
    </xf>
    <xf numFmtId="0" fontId="20" fillId="0" borderId="0" xfId="0" applyFont="1" applyAlignment="1">
      <alignment horizontal="left" wrapText="1"/>
    </xf>
    <xf numFmtId="0" fontId="20" fillId="0" borderId="0" xfId="28" applyFont="1" applyAlignment="1">
      <alignment horizontal="left"/>
    </xf>
    <xf numFmtId="0" fontId="20" fillId="0" borderId="0" xfId="28" applyFont="1" applyAlignment="1">
      <alignment horizontal="left" wrapText="1"/>
    </xf>
    <xf numFmtId="0" fontId="19" fillId="0" borderId="0" xfId="28" applyAlignment="1">
      <alignment horizontal="left" wrapText="1"/>
    </xf>
    <xf numFmtId="0" fontId="23" fillId="0" borderId="0" xfId="40" applyFont="1" applyAlignment="1">
      <alignment horizontal="left" wrapText="1"/>
    </xf>
    <xf numFmtId="0" fontId="12" fillId="0" borderId="0" xfId="0" applyNumberFormat="1" applyFont="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14" fillId="0" borderId="0" xfId="0" applyNumberFormat="1" applyFont="1" applyAlignment="1">
      <alignment wrapText="1"/>
    </xf>
    <xf numFmtId="0" fontId="2" fillId="0" borderId="0" xfId="0" applyFont="1" applyBorder="1" applyAlignment="1">
      <alignment wrapText="1"/>
    </xf>
    <xf numFmtId="0" fontId="12" fillId="0" borderId="0" xfId="0" applyFont="1" applyBorder="1" applyAlignment="1">
      <alignment wrapText="1"/>
    </xf>
    <xf numFmtId="0" fontId="0" fillId="0" borderId="0" xfId="0" applyBorder="1" applyAlignment="1">
      <alignment wrapText="1"/>
    </xf>
    <xf numFmtId="0" fontId="2" fillId="0" borderId="0" xfId="0" applyNumberFormat="1" applyFont="1" applyAlignment="1">
      <alignment wrapText="1"/>
    </xf>
    <xf numFmtId="0" fontId="22" fillId="4" borderId="0" xfId="32" applyNumberFormat="1" applyFont="1" applyFill="1" applyAlignment="1">
      <alignment horizontal="left"/>
    </xf>
    <xf numFmtId="170" fontId="6" fillId="4" borderId="0" xfId="32" applyNumberFormat="1" applyFont="1" applyFill="1" applyAlignment="1">
      <alignment horizontal="left"/>
    </xf>
    <xf numFmtId="0" fontId="12" fillId="4" borderId="0" xfId="33" applyFont="1" applyFill="1" applyBorder="1" applyAlignment="1">
      <alignment horizontal="left" wrapText="1"/>
    </xf>
    <xf numFmtId="0" fontId="2" fillId="4" borderId="0" xfId="33" applyFont="1" applyFill="1" applyBorder="1" applyAlignment="1">
      <alignment horizontal="left" wrapText="1"/>
    </xf>
    <xf numFmtId="0" fontId="24" fillId="0" borderId="19" xfId="10" applyFont="1" applyBorder="1" applyAlignment="1"/>
    <xf numFmtId="0" fontId="12" fillId="0" borderId="0" xfId="10" applyFont="1" applyAlignment="1">
      <alignment horizontal="left"/>
    </xf>
    <xf numFmtId="0" fontId="12" fillId="0" borderId="0" xfId="10" applyAlignment="1">
      <alignment horizontal="left"/>
    </xf>
    <xf numFmtId="0" fontId="17" fillId="0" borderId="0" xfId="10" applyFont="1" applyBorder="1" applyAlignment="1">
      <alignment horizontal="left"/>
    </xf>
    <xf numFmtId="0" fontId="24" fillId="0" borderId="0" xfId="10" applyFont="1" applyBorder="1" applyAlignment="1">
      <alignment horizontal="left"/>
    </xf>
    <xf numFmtId="0" fontId="25" fillId="0" borderId="0" xfId="10" applyFont="1" applyBorder="1" applyAlignment="1">
      <alignment horizontal="left"/>
    </xf>
    <xf numFmtId="0" fontId="25" fillId="0" borderId="0" xfId="10" applyFont="1" applyBorder="1" applyAlignment="1">
      <alignment horizontal="center"/>
    </xf>
    <xf numFmtId="0" fontId="25" fillId="0" borderId="0" xfId="10" applyFont="1" applyFill="1" applyBorder="1" applyAlignment="1">
      <alignment horizontal="left"/>
    </xf>
    <xf numFmtId="3" fontId="23" fillId="0" borderId="0" xfId="6" applyNumberFormat="1" applyFont="1" applyBorder="1" applyAlignment="1">
      <alignment horizontal="center"/>
    </xf>
    <xf numFmtId="0" fontId="23" fillId="0" borderId="0" xfId="10" applyFont="1" applyBorder="1" applyAlignment="1">
      <alignment horizontal="left"/>
    </xf>
    <xf numFmtId="0" fontId="23" fillId="0" borderId="0" xfId="10" applyFont="1" applyAlignment="1">
      <alignment horizontal="left"/>
    </xf>
    <xf numFmtId="0" fontId="57" fillId="0" borderId="0" xfId="10" applyFont="1" applyBorder="1" applyAlignment="1">
      <alignment horizontal="center"/>
    </xf>
    <xf numFmtId="3" fontId="25" fillId="0" borderId="0" xfId="10" applyNumberFormat="1" applyFont="1" applyAlignment="1">
      <alignment horizontal="center"/>
    </xf>
    <xf numFmtId="0" fontId="86" fillId="0" borderId="20" xfId="85" applyFont="1" applyFill="1" applyBorder="1" applyAlignment="1">
      <alignment horizontal="center" vertical="center" wrapText="1"/>
    </xf>
    <xf numFmtId="0" fontId="19" fillId="0" borderId="0" xfId="85" applyFont="1" applyFill="1" applyBorder="1" applyAlignment="1">
      <alignment horizontal="left" vertical="top" wrapText="1"/>
    </xf>
  </cellXfs>
  <cellStyles count="87">
    <cellStyle name="20% - Accent1" xfId="60" builtinId="30" customBuiltin="1"/>
    <cellStyle name="20% - Accent2" xfId="64" builtinId="34" customBuiltin="1"/>
    <cellStyle name="20% - Accent3" xfId="68" builtinId="38" customBuiltin="1"/>
    <cellStyle name="20% - Accent4" xfId="72" builtinId="42" customBuiltin="1"/>
    <cellStyle name="20% - Accent5" xfId="76" builtinId="46" customBuiltin="1"/>
    <cellStyle name="20% - Accent6" xfId="80" builtinId="50" customBuiltin="1"/>
    <cellStyle name="40% - Accent1" xfId="61" builtinId="31" customBuiltin="1"/>
    <cellStyle name="40% - Accent2" xfId="65" builtinId="35" customBuiltin="1"/>
    <cellStyle name="40% - Accent3" xfId="69" builtinId="39" customBuiltin="1"/>
    <cellStyle name="40% - Accent4" xfId="73" builtinId="43" customBuiltin="1"/>
    <cellStyle name="40% - Accent5" xfId="77" builtinId="47" customBuiltin="1"/>
    <cellStyle name="40% - Accent6" xfId="81" builtinId="51" customBuiltin="1"/>
    <cellStyle name="60% - Accent1" xfId="62" builtinId="32" customBuiltin="1"/>
    <cellStyle name="60% - Accent2" xfId="66" builtinId="36" customBuiltin="1"/>
    <cellStyle name="60% - Accent3" xfId="70" builtinId="40" customBuiltin="1"/>
    <cellStyle name="60% - Accent4" xfId="74" builtinId="44" customBuiltin="1"/>
    <cellStyle name="60% - Accent5" xfId="78" builtinId="48" customBuiltin="1"/>
    <cellStyle name="60% - Accent6" xfId="82" builtinId="52" customBuiltin="1"/>
    <cellStyle name="Accent1" xfId="59" builtinId="29" customBuiltin="1"/>
    <cellStyle name="Accent2" xfId="63" builtinId="33" customBuiltin="1"/>
    <cellStyle name="Accent3" xfId="67" builtinId="37" customBuiltin="1"/>
    <cellStyle name="Accent4" xfId="71" builtinId="41" customBuiltin="1"/>
    <cellStyle name="Accent5" xfId="75" builtinId="45" customBuiltin="1"/>
    <cellStyle name="Accent6" xfId="79" builtinId="49" customBuiltin="1"/>
    <cellStyle name="Bad" xfId="49" builtinId="27" customBuiltin="1"/>
    <cellStyle name="Calculation" xfId="53" builtinId="22" customBuiltin="1"/>
    <cellStyle name="Check Cell" xfId="55" builtinId="23" customBuiltin="1"/>
    <cellStyle name="Comma" xfId="42" builtinId="3"/>
    <cellStyle name="Comma 2" xfId="1"/>
    <cellStyle name="Comma 3" xfId="2"/>
    <cellStyle name="Currency" xfId="3" builtinId="4"/>
    <cellStyle name="Currency 2" xfId="4"/>
    <cellStyle name="Currency 3" xfId="5"/>
    <cellStyle name="Currency 4" xfId="6"/>
    <cellStyle name="Currency 5" xfId="86"/>
    <cellStyle name="Explanatory Text" xfId="57" builtinId="53" customBuiltin="1"/>
    <cellStyle name="Good" xfId="48"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51" builtinId="20" customBuiltin="1"/>
    <cellStyle name="Linked Cell" xfId="54" builtinId="24" customBuiltin="1"/>
    <cellStyle name="Neutral" xfId="50" builtinId="28" customBuiltin="1"/>
    <cellStyle name="Normal" xfId="0" builtinId="0"/>
    <cellStyle name="Normal 2" xfId="7"/>
    <cellStyle name="Normal 2 2" xfId="8"/>
    <cellStyle name="Normal 3" xfId="9"/>
    <cellStyle name="Normal 4" xfId="40"/>
    <cellStyle name="Normal 5" xfId="83"/>
    <cellStyle name="Normal 6" xfId="85"/>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3_5" xfId="41"/>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4"/>
    <cellStyle name="Output" xfId="52" builtinId="21" customBuiltin="1"/>
    <cellStyle name="Percent" xfId="36" builtinId="5"/>
    <cellStyle name="Percent 2" xfId="37"/>
    <cellStyle name="Percent 2 2" xfId="38"/>
    <cellStyle name="Percent 3" xfId="39"/>
    <cellStyle name="Title" xfId="43" builtinId="15" customBuiltin="1"/>
    <cellStyle name="Total" xfId="58" builtinId="25" customBuiltin="1"/>
    <cellStyle name="Warning Text" xfId="56"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433"/>
          <c:y val="3.3395171153344054E-2"/>
        </c:manualLayout>
      </c:layout>
      <c:spPr>
        <a:noFill/>
        <a:ln w="25400">
          <a:noFill/>
        </a:ln>
      </c:spPr>
    </c:title>
    <c:view3D>
      <c:rotX val="10"/>
      <c:hPercent val="63"/>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ser>
          <c:idx val="0"/>
          <c:order val="0"/>
          <c:tx>
            <c:strRef>
              <c:f>'Rev.Exp.'!$I$28</c:f>
              <c:strCache>
                <c:ptCount val="1"/>
                <c:pt idx="0">
                  <c:v>General Fund</c:v>
                </c:pt>
              </c:strCache>
            </c:strRef>
          </c:tx>
          <c:spPr>
            <a:solidFill>
              <a:srgbClr val="9999FF"/>
            </a:solidFill>
            <a:ln w="12700">
              <a:solidFill>
                <a:srgbClr val="000000"/>
              </a:solidFill>
              <a:prstDash val="solid"/>
            </a:ln>
          </c:spPr>
          <c:cat>
            <c:numRef>
              <c:f>'Rev.Exp.'!$H$38:$H$46</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'Rev.Exp.'!$I$38:$I$46</c:f>
              <c:numCache>
                <c:formatCode>0.00</c:formatCode>
                <c:ptCount val="9"/>
                <c:pt idx="0">
                  <c:v>11.953799999999999</c:v>
                </c:pt>
                <c:pt idx="1">
                  <c:v>13.755000000000001</c:v>
                </c:pt>
                <c:pt idx="2">
                  <c:v>14.903528</c:v>
                </c:pt>
                <c:pt idx="3">
                  <c:v>15.632781</c:v>
                </c:pt>
                <c:pt idx="4">
                  <c:v>15.844583999999999</c:v>
                </c:pt>
                <c:pt idx="5">
                  <c:v>14.397963000000001</c:v>
                </c:pt>
                <c:pt idx="6">
                  <c:v>14.310392999999999</c:v>
                </c:pt>
                <c:pt idx="7">
                  <c:v>15.378508</c:v>
                </c:pt>
                <c:pt idx="8">
                  <c:v>16.181951000000002</c:v>
                </c:pt>
              </c:numCache>
            </c:numRef>
          </c:val>
        </c:ser>
        <c:ser>
          <c:idx val="1"/>
          <c:order val="1"/>
          <c:tx>
            <c:strRef>
              <c:f>'Rev.Exp.'!$J$28</c:f>
              <c:strCache>
                <c:ptCount val="1"/>
                <c:pt idx="0">
                  <c:v>All Other Funds</c:v>
                </c:pt>
              </c:strCache>
            </c:strRef>
          </c:tx>
          <c:spPr>
            <a:solidFill>
              <a:srgbClr val="993366"/>
            </a:solidFill>
            <a:ln w="12700">
              <a:solidFill>
                <a:srgbClr val="000000"/>
              </a:solidFill>
              <a:prstDash val="solid"/>
            </a:ln>
          </c:spPr>
          <c:cat>
            <c:numRef>
              <c:f>'Rev.Exp.'!$H$38:$H$46</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'Rev.Exp.'!$J$38:$J$46</c:f>
              <c:numCache>
                <c:formatCode>0.00</c:formatCode>
                <c:ptCount val="9"/>
                <c:pt idx="0">
                  <c:v>16.713699999999999</c:v>
                </c:pt>
                <c:pt idx="1">
                  <c:v>17.722999999999999</c:v>
                </c:pt>
                <c:pt idx="2">
                  <c:v>18.971191999999999</c:v>
                </c:pt>
                <c:pt idx="3">
                  <c:v>19.617564999999999</c:v>
                </c:pt>
                <c:pt idx="4">
                  <c:v>18.257210000000001</c:v>
                </c:pt>
                <c:pt idx="5">
                  <c:v>19.133918000000001</c:v>
                </c:pt>
                <c:pt idx="6">
                  <c:v>21.508365999999999</c:v>
                </c:pt>
                <c:pt idx="7">
                  <c:v>22.960031000000001</c:v>
                </c:pt>
                <c:pt idx="8">
                  <c:v>22.802582000000001</c:v>
                </c:pt>
              </c:numCache>
            </c:numRef>
          </c:val>
        </c:ser>
        <c:shape val="box"/>
        <c:axId val="170039168"/>
        <c:axId val="170078208"/>
        <c:axId val="0"/>
      </c:bar3DChart>
      <c:catAx>
        <c:axId val="170039168"/>
        <c:scaling>
          <c:orientation val="minMax"/>
        </c:scaling>
        <c:axPos val="b"/>
        <c:numFmt formatCode="General" sourceLinked="1"/>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70078208"/>
        <c:crosses val="autoZero"/>
        <c:auto val="1"/>
        <c:lblAlgn val="ctr"/>
        <c:lblOffset val="100"/>
        <c:tickLblSkip val="1"/>
        <c:tickMarkSkip val="1"/>
      </c:catAx>
      <c:valAx>
        <c:axId val="170078208"/>
        <c:scaling>
          <c:orientation val="minMax"/>
        </c:scaling>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266E-2"/>
              <c:y val="0.463821897917222"/>
            </c:manualLayout>
          </c:layout>
          <c:spPr>
            <a:noFill/>
            <a:ln w="25400">
              <a:noFill/>
            </a:ln>
          </c:spPr>
        </c:title>
        <c:numFmt formatCode="\$#,##0" sourceLinked="0"/>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70039168"/>
        <c:crosses val="autoZero"/>
        <c:crossBetween val="between"/>
      </c:valAx>
      <c:spPr>
        <a:noFill/>
        <a:ln w="25400">
          <a:noFill/>
        </a:ln>
      </c:spPr>
    </c:plotArea>
    <c:legend>
      <c:legendPos val="b"/>
      <c:layout>
        <c:manualLayout>
          <c:xMode val="edge"/>
          <c:yMode val="edge"/>
          <c:x val="0.21195767260158938"/>
          <c:y val="0.90728747257379572"/>
          <c:w val="0.66457950484164752"/>
          <c:h val="7.7870534507793923E-2"/>
        </c:manualLayout>
      </c:layout>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State and Local Sales &amp; Use Tax Collections</a:t>
            </a:r>
          </a:p>
        </c:rich>
      </c:tx>
      <c:layout>
        <c:manualLayout>
          <c:xMode val="edge"/>
          <c:yMode val="edge"/>
          <c:x val="0.25960121920243839"/>
          <c:y val="5.4124049571123177E-2"/>
        </c:manualLayout>
      </c:layout>
      <c:spPr>
        <a:noFill/>
        <a:ln w="25400">
          <a:noFill/>
        </a:ln>
      </c:spPr>
    </c:title>
    <c:view3D>
      <c:rotX val="10"/>
      <c:hPercent val="50"/>
      <c:rotY val="10"/>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manualLayout>
          <c:layoutTarget val="inner"/>
          <c:xMode val="edge"/>
          <c:yMode val="edge"/>
          <c:x val="0.12903259679676171"/>
          <c:y val="0.16752645837652741"/>
          <c:w val="0.84178408386460002"/>
          <c:h val="0.64175520208857129"/>
        </c:manualLayout>
      </c:layout>
      <c:bar3DChart>
        <c:barDir val="col"/>
        <c:grouping val="clustered"/>
        <c:ser>
          <c:idx val="0"/>
          <c:order val="0"/>
          <c:spPr>
            <a:solidFill>
              <a:srgbClr val="9999FF"/>
            </a:solidFill>
            <a:ln w="12700">
              <a:solidFill>
                <a:srgbClr val="000000"/>
              </a:solidFill>
              <a:prstDash val="solid"/>
            </a:ln>
          </c:spPr>
          <c:cat>
            <c:numRef>
              <c:f>'Table 4.1'!$A$9:$A$18</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'Table 4.1'!$I$9:$I$18</c:f>
              <c:numCache>
                <c:formatCode>"$"#,##0.00_);\("$"#,##0.00\)</c:formatCode>
                <c:ptCount val="10"/>
                <c:pt idx="0">
                  <c:v>3.262308</c:v>
                </c:pt>
                <c:pt idx="1">
                  <c:v>3.5872579999999998</c:v>
                </c:pt>
                <c:pt idx="2">
                  <c:v>4.4800740000000001</c:v>
                </c:pt>
                <c:pt idx="3">
                  <c:v>4.5050780000000001</c:v>
                </c:pt>
                <c:pt idx="4">
                  <c:v>4.8467120000000001</c:v>
                </c:pt>
                <c:pt idx="5">
                  <c:v>4.8796809999999997</c:v>
                </c:pt>
                <c:pt idx="6">
                  <c:v>4.6278329999999999</c:v>
                </c:pt>
                <c:pt idx="7">
                  <c:v>4.7622609999999996</c:v>
                </c:pt>
                <c:pt idx="8">
                  <c:v>4.7039400000000002</c:v>
                </c:pt>
                <c:pt idx="9">
                  <c:v>4.8911930000000003</c:v>
                </c:pt>
              </c:numCache>
            </c:numRef>
          </c:val>
        </c:ser>
        <c:shape val="box"/>
        <c:axId val="73803648"/>
        <c:axId val="73805824"/>
        <c:axId val="0"/>
      </c:bar3DChart>
      <c:catAx>
        <c:axId val="73803648"/>
        <c:scaling>
          <c:orientation val="minMax"/>
        </c:scaling>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88272"/>
              <c:y val="0.87629238033390144"/>
            </c:manualLayout>
          </c:layout>
          <c:spPr>
            <a:noFill/>
            <a:ln w="25400">
              <a:noFill/>
            </a:ln>
          </c:spPr>
        </c:title>
        <c:numFmt formatCode="General" sourceLinked="1"/>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805824"/>
        <c:crossesAt val="2"/>
        <c:auto val="1"/>
        <c:lblAlgn val="ctr"/>
        <c:lblOffset val="100"/>
        <c:tickLblSkip val="1"/>
        <c:tickMarkSkip val="1"/>
      </c:catAx>
      <c:valAx>
        <c:axId val="73805824"/>
        <c:scaling>
          <c:orientation val="minMax"/>
          <c:min val="2"/>
        </c:scaling>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7.9877313722881413E-2"/>
              <c:y val="0.42783674270097682"/>
            </c:manualLayout>
          </c:layout>
          <c:spPr>
            <a:noFill/>
            <a:ln w="25400">
              <a:noFill/>
            </a:ln>
          </c:spPr>
        </c:title>
        <c:numFmt formatCode="\$#,##0.0_);\(\$#,##0.0\)" sourceLinked="0"/>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803648"/>
        <c:crosses val="autoZero"/>
        <c:crossBetween val="between"/>
        <c:minorUnit val="0.5"/>
      </c:valAx>
      <c:spPr>
        <a:noFill/>
        <a:ln w="25400">
          <a:noFill/>
        </a:ln>
      </c:spPr>
    </c:plotArea>
    <c:plotVisOnly val="1"/>
    <c:dispBlanksAs val="gap"/>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75" b="1" i="0" u="none" strike="noStrike" baseline="0">
                <a:solidFill>
                  <a:srgbClr val="000000"/>
                </a:solidFill>
                <a:latin typeface="Arial"/>
                <a:ea typeface="Arial"/>
                <a:cs typeface="Arial"/>
              </a:defRPr>
            </a:pPr>
            <a:r>
              <a:rPr lang="en-US"/>
              <a:t>Motor Fuel Sales Tax Revenue</a:t>
            </a:r>
          </a:p>
        </c:rich>
      </c:tx>
      <c:layout>
        <c:manualLayout>
          <c:xMode val="edge"/>
          <c:yMode val="edge"/>
          <c:x val="0.31514396307556236"/>
          <c:y val="3.4274193548387094E-2"/>
        </c:manualLayout>
      </c:layout>
      <c:spPr>
        <a:noFill/>
        <a:ln w="25400">
          <a:noFill/>
        </a:ln>
      </c:spPr>
    </c:title>
    <c:view3D>
      <c:rotX val="16"/>
      <c:hPercent val="70"/>
      <c:rotY val="7"/>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manualLayout>
          <c:layoutTarget val="inner"/>
          <c:xMode val="edge"/>
          <c:yMode val="edge"/>
          <c:x val="0.14870427828227994"/>
          <c:y val="0.17338726746320909"/>
          <c:w val="0.62892359897368222"/>
          <c:h val="0.61895222222332524"/>
        </c:manualLayout>
      </c:layout>
      <c:bar3DChart>
        <c:barDir val="col"/>
        <c:grouping val="clustered"/>
        <c:ser>
          <c:idx val="1"/>
          <c:order val="0"/>
          <c:tx>
            <c:strRef>
              <c:f>'Table 4.4'!$A$21</c:f>
              <c:strCache>
                <c:ptCount val="1"/>
                <c:pt idx="0">
                  <c:v>Potomac and Rappahannock</c:v>
                </c:pt>
              </c:strCache>
            </c:strRef>
          </c:tx>
          <c:spPr>
            <a:solidFill>
              <a:srgbClr val="993366"/>
            </a:solidFill>
            <a:ln w="12700">
              <a:solidFill>
                <a:srgbClr val="000000"/>
              </a:solidFill>
              <a:prstDash val="solid"/>
            </a:ln>
          </c:spPr>
          <c:cat>
            <c:strRef>
              <c:f>'Table 4.4'!$B$4:$F$4</c:f>
              <c:strCache>
                <c:ptCount val="5"/>
                <c:pt idx="0">
                  <c:v>FY 2008</c:v>
                </c:pt>
                <c:pt idx="1">
                  <c:v>FY 2009</c:v>
                </c:pt>
                <c:pt idx="2">
                  <c:v>FY 2010</c:v>
                </c:pt>
                <c:pt idx="3">
                  <c:v>FY 2011</c:v>
                </c:pt>
                <c:pt idx="4">
                  <c:v>FY 2012</c:v>
                </c:pt>
              </c:strCache>
            </c:strRef>
          </c:cat>
          <c:val>
            <c:numRef>
              <c:f>'Table 4.4'!$K$25:$K$29</c:f>
              <c:numCache>
                <c:formatCode>"$"#,##0.00</c:formatCode>
                <c:ptCount val="5"/>
                <c:pt idx="0">
                  <c:v>22.068425139999995</c:v>
                </c:pt>
                <c:pt idx="1">
                  <c:v>19.294246650000002</c:v>
                </c:pt>
                <c:pt idx="2">
                  <c:v>20.151657780000001</c:v>
                </c:pt>
                <c:pt idx="3">
                  <c:v>26.500764829999998</c:v>
                </c:pt>
                <c:pt idx="4">
                  <c:v>31.216389379999999</c:v>
                </c:pt>
              </c:numCache>
            </c:numRef>
          </c:val>
        </c:ser>
        <c:ser>
          <c:idx val="0"/>
          <c:order val="1"/>
          <c:tx>
            <c:strRef>
              <c:f>'Table 4.4'!$A$12</c:f>
              <c:strCache>
                <c:ptCount val="1"/>
                <c:pt idx="0">
                  <c:v>Northern Virginia</c:v>
                </c:pt>
              </c:strCache>
            </c:strRef>
          </c:tx>
          <c:spPr>
            <a:solidFill>
              <a:srgbClr val="9999FF"/>
            </a:solidFill>
            <a:ln w="12700">
              <a:solidFill>
                <a:srgbClr val="000000"/>
              </a:solidFill>
              <a:prstDash val="solid"/>
            </a:ln>
          </c:spPr>
          <c:cat>
            <c:strRef>
              <c:f>'Table 4.4'!$B$4:$F$4</c:f>
              <c:strCache>
                <c:ptCount val="5"/>
                <c:pt idx="0">
                  <c:v>FY 2008</c:v>
                </c:pt>
                <c:pt idx="1">
                  <c:v>FY 2009</c:v>
                </c:pt>
                <c:pt idx="2">
                  <c:v>FY 2010</c:v>
                </c:pt>
                <c:pt idx="3">
                  <c:v>FY 2011</c:v>
                </c:pt>
                <c:pt idx="4">
                  <c:v>FY 2012</c:v>
                </c:pt>
              </c:strCache>
            </c:strRef>
          </c:cat>
          <c:val>
            <c:numRef>
              <c:f>'Table 4.4'!$J$25:$J$29</c:f>
              <c:numCache>
                <c:formatCode>"$"#,##0.00</c:formatCode>
                <c:ptCount val="5"/>
                <c:pt idx="0">
                  <c:v>42.392674220000004</c:v>
                </c:pt>
                <c:pt idx="1">
                  <c:v>36.457519429999998</c:v>
                </c:pt>
                <c:pt idx="2">
                  <c:v>36.119506969999996</c:v>
                </c:pt>
                <c:pt idx="3">
                  <c:v>43.022294459999991</c:v>
                </c:pt>
                <c:pt idx="4">
                  <c:v>47.134275039999999</c:v>
                </c:pt>
              </c:numCache>
            </c:numRef>
          </c:val>
        </c:ser>
        <c:shape val="box"/>
        <c:axId val="74269824"/>
        <c:axId val="74271744"/>
        <c:axId val="0"/>
      </c:bar3DChart>
      <c:catAx>
        <c:axId val="74269824"/>
        <c:scaling>
          <c:orientation val="minMax"/>
        </c:scaling>
        <c:axPos val="b"/>
        <c:title>
          <c:tx>
            <c:rich>
              <a:bodyPr/>
              <a:lstStyle/>
              <a:p>
                <a:pPr>
                  <a:defRPr sz="975" b="1" i="0" u="none" strike="noStrike" baseline="0">
                    <a:solidFill>
                      <a:srgbClr val="000000"/>
                    </a:solidFill>
                    <a:latin typeface="Arial"/>
                    <a:ea typeface="Arial"/>
                    <a:cs typeface="Arial"/>
                  </a:defRPr>
                </a:pPr>
                <a:r>
                  <a:rPr lang="en-US"/>
                  <a:t>Fiscal Year</a:t>
                </a:r>
              </a:p>
            </c:rich>
          </c:tx>
          <c:layout>
            <c:manualLayout>
              <c:xMode val="edge"/>
              <c:yMode val="edge"/>
              <c:x val="0.39836378740516204"/>
              <c:y val="0.84879111633224191"/>
            </c:manualLayout>
          </c:layout>
          <c:spPr>
            <a:noFill/>
            <a:ln w="25400">
              <a:noFill/>
            </a:ln>
          </c:spPr>
        </c:title>
        <c:numFmt formatCode="General" sourceLinked="1"/>
        <c:tickLblPos val="low"/>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74271744"/>
        <c:crosses val="autoZero"/>
        <c:lblAlgn val="ctr"/>
        <c:lblOffset val="100"/>
        <c:tickLblSkip val="1"/>
        <c:tickMarkSkip val="1"/>
      </c:catAx>
      <c:valAx>
        <c:axId val="74271744"/>
        <c:scaling>
          <c:orientation val="minMax"/>
          <c:max val="50"/>
          <c:min val="5"/>
        </c:scaling>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Millions</a:t>
                </a:r>
              </a:p>
            </c:rich>
          </c:tx>
          <c:layout>
            <c:manualLayout>
              <c:xMode val="edge"/>
              <c:yMode val="edge"/>
              <c:x val="9.0041106730690046E-2"/>
              <c:y val="0.43548440013547496"/>
            </c:manualLayout>
          </c:layout>
          <c:spPr>
            <a:noFill/>
            <a:ln w="25400">
              <a:noFill/>
            </a:ln>
          </c:spPr>
        </c:title>
        <c:numFmt formatCode="\$#,##0" sourceLinked="0"/>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74269824"/>
        <c:crosses val="autoZero"/>
        <c:crossBetween val="between"/>
      </c:valAx>
      <c:spPr>
        <a:noFill/>
        <a:ln w="25400">
          <a:noFill/>
        </a:ln>
      </c:spPr>
    </c:plotArea>
    <c:legend>
      <c:legendPos val="r"/>
      <c:layout>
        <c:manualLayout>
          <c:xMode val="edge"/>
          <c:yMode val="edge"/>
          <c:x val="0.76807800968945428"/>
          <c:y val="0.33064542587418538"/>
          <c:w val="0.2114602915426877"/>
          <c:h val="0.3387099420032173"/>
        </c:manualLayout>
      </c:layout>
      <c:spPr>
        <a:solidFill>
          <a:srgbClr val="FFFFFF"/>
        </a:solidFill>
        <a:ln w="25400">
          <a:noFill/>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733" r="0.75000000000000733"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spPr>
        <a:noFill/>
        <a:ln w="25400">
          <a:noFill/>
        </a:ln>
      </c:spPr>
    </c:title>
    <c:view3D>
      <c:rotX val="10"/>
      <c:hPercent val="38"/>
      <c:rotY val="10"/>
      <c:depthPercent val="100"/>
      <c:rAngAx val="1"/>
    </c:view3D>
    <c:floor>
      <c:spPr>
        <a:solidFill>
          <a:srgbClr val="C0C0C0"/>
        </a:solidFill>
        <a:ln w="3175">
          <a:solidFill>
            <a:srgbClr val="000000"/>
          </a:solidFill>
          <a:prstDash val="solid"/>
        </a:ln>
      </c:spPr>
    </c:floor>
    <c:sideWall>
      <c:spPr>
        <a:noFill/>
        <a:ln w="25400">
          <a:noFill/>
        </a:ln>
      </c:spPr>
    </c:sideWall>
    <c:backWall>
      <c:spPr>
        <a:noFill/>
        <a:ln w="25400">
          <a:noFill/>
        </a:ln>
      </c:spPr>
    </c:backWall>
    <c:plotArea>
      <c:layout>
        <c:manualLayout>
          <c:layoutTarget val="inner"/>
          <c:xMode val="edge"/>
          <c:yMode val="edge"/>
          <c:x val="0.12031266063473205"/>
          <c:y val="0.19808407138146494"/>
          <c:w val="0.86250115156328577"/>
          <c:h val="0.53354903097911688"/>
        </c:manualLayout>
      </c:layout>
      <c:bar3DChart>
        <c:barDir val="col"/>
        <c:grouping val="clustered"/>
        <c:ser>
          <c:idx val="0"/>
          <c:order val="0"/>
          <c:spPr>
            <a:solidFill>
              <a:srgbClr val="9999FF"/>
            </a:solidFill>
            <a:ln w="12700">
              <a:solidFill>
                <a:srgbClr val="000000"/>
              </a:solidFill>
              <a:prstDash val="solid"/>
            </a:ln>
          </c:spPr>
          <c:cat>
            <c:numRef>
              <c:f>'Tables 5.3-5.4'!$A$36:$A$40</c:f>
              <c:numCache>
                <c:formatCode>General</c:formatCode>
                <c:ptCount val="5"/>
                <c:pt idx="0">
                  <c:v>2008</c:v>
                </c:pt>
                <c:pt idx="1">
                  <c:v>2009</c:v>
                </c:pt>
                <c:pt idx="2">
                  <c:v>2010</c:v>
                </c:pt>
                <c:pt idx="3">
                  <c:v>2011</c:v>
                </c:pt>
                <c:pt idx="4">
                  <c:v>2012</c:v>
                </c:pt>
              </c:numCache>
            </c:numRef>
          </c:cat>
          <c:val>
            <c:numRef>
              <c:f>'Tables 5.3-5.4'!$B$36:$B$40</c:f>
              <c:numCache>
                <c:formatCode>#,##0</c:formatCode>
                <c:ptCount val="5"/>
                <c:pt idx="0" formatCode="&quot;$&quot;#,##0">
                  <c:v>13770000</c:v>
                </c:pt>
                <c:pt idx="1">
                  <c:v>21273000</c:v>
                </c:pt>
                <c:pt idx="2">
                  <c:v>24343000</c:v>
                </c:pt>
                <c:pt idx="3">
                  <c:v>24580000</c:v>
                </c:pt>
                <c:pt idx="4">
                  <c:v>19570000</c:v>
                </c:pt>
              </c:numCache>
            </c:numRef>
          </c:val>
        </c:ser>
        <c:shape val="box"/>
        <c:axId val="74382720"/>
        <c:axId val="74733056"/>
        <c:axId val="0"/>
      </c:bar3DChart>
      <c:catAx>
        <c:axId val="74382720"/>
        <c:scaling>
          <c:orientation val="minMax"/>
        </c:scaling>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48792"/>
              <c:y val="0.83706489564203834"/>
            </c:manualLayout>
          </c:layout>
          <c:spPr>
            <a:noFill/>
            <a:ln w="25400">
              <a:noFill/>
            </a:ln>
          </c:spPr>
        </c:title>
        <c:numFmt formatCode="#\ ?/?" sourceLinked="0"/>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4733056"/>
        <c:crossesAt val="0"/>
        <c:auto val="1"/>
        <c:lblAlgn val="ctr"/>
        <c:lblOffset val="100"/>
        <c:tickLblSkip val="1"/>
        <c:tickMarkSkip val="1"/>
      </c:catAx>
      <c:valAx>
        <c:axId val="74733056"/>
        <c:scaling>
          <c:orientation val="minMax"/>
          <c:max val="26000000"/>
          <c:min val="2000000"/>
        </c:scaling>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4836"/>
            </c:manualLayout>
          </c:layout>
          <c:spPr>
            <a:noFill/>
            <a:ln w="25400">
              <a:noFill/>
            </a:ln>
          </c:spPr>
        </c:title>
        <c:numFmt formatCode="\$#,##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4382720"/>
        <c:crosses val="autoZero"/>
        <c:crossBetween val="between"/>
        <c:majorUnit val="4000000"/>
        <c:dispUnits>
          <c:builtInUnit val="millions"/>
        </c:dispUnits>
      </c:valAx>
      <c:spPr>
        <a:noFill/>
        <a:ln w="25400">
          <a:noFill/>
        </a:ln>
      </c:spPr>
    </c:plotArea>
    <c:plotVisOnly val="1"/>
    <c:dispBlanksAs val="gap"/>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66" r="0.75000000000001066"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2012
</a:t>
            </a:r>
          </a:p>
        </c:rich>
      </c:tx>
      <c:layout>
        <c:manualLayout>
          <c:xMode val="edge"/>
          <c:yMode val="edge"/>
          <c:x val="0.19364617595268938"/>
          <c:y val="3.1523599720167314E-2"/>
        </c:manualLayout>
      </c:layout>
      <c:spPr>
        <a:noFill/>
        <a:ln w="25400">
          <a:noFill/>
        </a:ln>
      </c:spPr>
    </c:title>
    <c:view3D>
      <c:perspective val="0"/>
    </c:view3D>
    <c:plotArea>
      <c:layout>
        <c:manualLayout>
          <c:layoutTarget val="inner"/>
          <c:xMode val="edge"/>
          <c:yMode val="edge"/>
          <c:x val="0.26021199252138166"/>
          <c:y val="0.36602483138891195"/>
          <c:w val="0.47503817239370044"/>
          <c:h val="0.21891437284025658"/>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38%</a:t>
                    </a:r>
                  </a:p>
                </c:rich>
              </c:tx>
              <c:spPr>
                <a:noFill/>
                <a:ln w="25400">
                  <a:noFill/>
                </a:ln>
              </c:spPr>
              <c:dLblPos val="bestFi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Other 
Funds (TAX)
2%</a:t>
                    </a:r>
                  </a:p>
                </c:rich>
              </c:tx>
              <c:spPr>
                <a:noFill/>
                <a:ln w="25400">
                  <a:noFill/>
                </a:ln>
              </c:spPr>
              <c:dLblPos val="bestFit"/>
            </c:dLbl>
            <c:dLbl>
              <c:idx val="2"/>
              <c:layout>
                <c:manualLayout>
                  <c:x val="-0.11350124577060303"/>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3%</a:t>
                    </a:r>
                  </a:p>
                </c:rich>
              </c:tx>
              <c:spPr>
                <a:noFill/>
                <a:ln w="25400">
                  <a:noFill/>
                </a:ln>
              </c:spPr>
              <c:dLblPos val="bestFi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Other Funds 
(Other Agencies)
57%</a:t>
                    </a:r>
                  </a:p>
                </c:rich>
              </c:tx>
              <c:spPr>
                <a:noFill/>
                <a:ln w="25400">
                  <a:noFill/>
                </a:ln>
              </c:spPr>
              <c:dLblPos val="bestFi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CatName val="1"/>
          </c:dLbls>
          <c:cat>
            <c:strRef>
              <c:f>('Rev.Exp.'!$A$11:$A$12,'Rev.Exp.'!$A$16:$A$17)</c:f>
              <c:strCache>
                <c:ptCount val="4"/>
                <c:pt idx="0">
                  <c:v>General Fund</c:v>
                </c:pt>
                <c:pt idx="1">
                  <c:v>All Other Funds</c:v>
                </c:pt>
                <c:pt idx="2">
                  <c:v>General Fund</c:v>
                </c:pt>
                <c:pt idx="3">
                  <c:v>All Other Funds</c:v>
                </c:pt>
              </c:strCache>
            </c:strRef>
          </c:cat>
          <c:val>
            <c:numRef>
              <c:f>('Rev.Exp.'!$C$11:$C$12,'Rev.Exp.'!$C$16:$C$17)</c:f>
              <c:numCache>
                <c:formatCode>#,##0</c:formatCode>
                <c:ptCount val="4"/>
                <c:pt idx="0" formatCode="[$$-409]#,##0">
                  <c:v>14938089000</c:v>
                </c:pt>
                <c:pt idx="1">
                  <c:v>786987000</c:v>
                </c:pt>
                <c:pt idx="2" formatCode="[$$-409]#,##0">
                  <c:v>1243862000</c:v>
                </c:pt>
                <c:pt idx="3">
                  <c:v>22015595000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2012
</a:t>
            </a:r>
          </a:p>
        </c:rich>
      </c:tx>
      <c:layout>
        <c:manualLayout>
          <c:xMode val="edge"/>
          <c:yMode val="edge"/>
          <c:x val="0.16910569105691056"/>
          <c:y val="3.420523138833001E-2"/>
        </c:manualLayout>
      </c:layout>
      <c:spPr>
        <a:noFill/>
        <a:ln w="25400">
          <a:noFill/>
        </a:ln>
      </c:spPr>
    </c:title>
    <c:view3D>
      <c:perspective val="0"/>
    </c:view3D>
    <c:plotArea>
      <c:layout>
        <c:manualLayout>
          <c:layoutTarget val="inner"/>
          <c:xMode val="edge"/>
          <c:yMode val="edge"/>
          <c:x val="0.25040660347061444"/>
          <c:y val="0.44466866335022287"/>
          <c:w val="0.50243922384687179"/>
          <c:h val="0.24748527417229746"/>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Lbls>
            <c:dLbl>
              <c:idx val="0"/>
              <c:dLblPos val="bestFit"/>
              <c:showCatName val="1"/>
              <c:showPercent val="1"/>
            </c:dLbl>
            <c:dLbl>
              <c:idx val="1"/>
              <c:dLblPos val="bestFit"/>
              <c:showCatName val="1"/>
              <c:showPercent val="1"/>
            </c:dLbl>
            <c:dLbl>
              <c:idx val="3"/>
              <c:layout>
                <c:manualLayout>
                  <c:x val="4.5889358920523704E-2"/>
                  <c:y val="-5.5320948607453485E-2"/>
                </c:manualLayout>
              </c:layout>
              <c:dLblPos val="bestFit"/>
              <c:showCatName val="1"/>
              <c:showPercent val="1"/>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CatName val="1"/>
            <c:showPercent val="1"/>
          </c:dLbls>
          <c:cat>
            <c:strRef>
              <c:f>'By Account'!$L$28:$L$31</c:f>
              <c:strCache>
                <c:ptCount val="4"/>
                <c:pt idx="0">
                  <c:v>Sales and Use Tax</c:v>
                </c:pt>
                <c:pt idx="1">
                  <c:v>Individual Income Tax</c:v>
                </c:pt>
                <c:pt idx="2">
                  <c:v>Corporation Income</c:v>
                </c:pt>
                <c:pt idx="3">
                  <c:v>Other</c:v>
                </c:pt>
              </c:strCache>
            </c:strRef>
          </c:cat>
          <c:val>
            <c:numRef>
              <c:f>'By Account'!$N$28:$N$31</c:f>
              <c:numCache>
                <c:formatCode>#,##0</c:formatCode>
                <c:ptCount val="4"/>
                <c:pt idx="0">
                  <c:v>3121503000</c:v>
                </c:pt>
                <c:pt idx="1">
                  <c:v>10612836000</c:v>
                </c:pt>
                <c:pt idx="2">
                  <c:v>859923000</c:v>
                </c:pt>
                <c:pt idx="3">
                  <c:v>1130814000</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Sources</a:t>
            </a:r>
          </a:p>
        </c:rich>
      </c:tx>
      <c:layout>
        <c:manualLayout>
          <c:xMode val="edge"/>
          <c:yMode val="edge"/>
          <c:x val="0.13311688311688324"/>
          <c:y val="3.4858387799564412E-2"/>
        </c:manualLayout>
      </c:layout>
      <c:spPr>
        <a:noFill/>
        <a:ln w="25400">
          <a:noFill/>
        </a:ln>
      </c:spPr>
    </c:title>
    <c:view3D>
      <c:rotX val="10"/>
      <c:hPercent val="59"/>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20129886086113963"/>
          <c:y val="0.19825734424113545"/>
          <c:w val="0.76623437360045465"/>
          <c:h val="0.60784394553051768"/>
        </c:manualLayout>
      </c:layout>
      <c:bar3DChart>
        <c:barDir val="col"/>
        <c:grouping val="clustered"/>
        <c:ser>
          <c:idx val="0"/>
          <c:order val="0"/>
          <c:tx>
            <c:v>Individual Income Tax</c:v>
          </c:tx>
          <c:spPr>
            <a:solidFill>
              <a:srgbClr val="9999FF"/>
            </a:solidFill>
            <a:ln w="12700">
              <a:solidFill>
                <a:srgbClr val="000000"/>
              </a:solidFill>
              <a:prstDash val="solid"/>
            </a:ln>
          </c:spPr>
          <c:cat>
            <c:numRef>
              <c:f>'By Account'!$S$2:$Y$2</c:f>
              <c:numCache>
                <c:formatCode>General</c:formatCode>
                <c:ptCount val="7"/>
                <c:pt idx="0">
                  <c:v>2006</c:v>
                </c:pt>
                <c:pt idx="1">
                  <c:v>2007</c:v>
                </c:pt>
                <c:pt idx="2">
                  <c:v>2008</c:v>
                </c:pt>
                <c:pt idx="3">
                  <c:v>2009</c:v>
                </c:pt>
                <c:pt idx="4">
                  <c:v>2010</c:v>
                </c:pt>
                <c:pt idx="5">
                  <c:v>2011</c:v>
                </c:pt>
                <c:pt idx="6">
                  <c:v>2012</c:v>
                </c:pt>
              </c:numCache>
            </c:numRef>
          </c:cat>
          <c:val>
            <c:numRef>
              <c:f>'By Account'!$S$3:$Y$3</c:f>
              <c:numCache>
                <c:formatCode>0.000</c:formatCode>
                <c:ptCount val="7"/>
                <c:pt idx="0">
                  <c:v>9.2648829999999993</c:v>
                </c:pt>
                <c:pt idx="1">
                  <c:v>9.7875920000000001</c:v>
                </c:pt>
                <c:pt idx="2">
                  <c:v>10.114833000000001</c:v>
                </c:pt>
                <c:pt idx="3">
                  <c:v>9.481109</c:v>
                </c:pt>
                <c:pt idx="4">
                  <c:v>9.0882520000000007</c:v>
                </c:pt>
                <c:pt idx="5">
                  <c:v>9.9443699999999993</c:v>
                </c:pt>
                <c:pt idx="6">
                  <c:v>10.612836</c:v>
                </c:pt>
              </c:numCache>
            </c:numRef>
          </c:val>
        </c:ser>
        <c:ser>
          <c:idx val="1"/>
          <c:order val="1"/>
          <c:tx>
            <c:v>Sales and Use Tax</c:v>
          </c:tx>
          <c:spPr>
            <a:solidFill>
              <a:srgbClr val="993366"/>
            </a:solidFill>
            <a:ln w="12700">
              <a:solidFill>
                <a:srgbClr val="000000"/>
              </a:solidFill>
              <a:prstDash val="solid"/>
            </a:ln>
          </c:spPr>
          <c:cat>
            <c:numRef>
              <c:f>'By Account'!$S$2:$Y$2</c:f>
              <c:numCache>
                <c:formatCode>General</c:formatCode>
                <c:ptCount val="7"/>
                <c:pt idx="0">
                  <c:v>2006</c:v>
                </c:pt>
                <c:pt idx="1">
                  <c:v>2007</c:v>
                </c:pt>
                <c:pt idx="2">
                  <c:v>2008</c:v>
                </c:pt>
                <c:pt idx="3">
                  <c:v>2009</c:v>
                </c:pt>
                <c:pt idx="4">
                  <c:v>2010</c:v>
                </c:pt>
                <c:pt idx="5">
                  <c:v>2011</c:v>
                </c:pt>
                <c:pt idx="6">
                  <c:v>2012</c:v>
                </c:pt>
              </c:numCache>
            </c:numRef>
          </c:cat>
          <c:val>
            <c:numRef>
              <c:f>'By Account'!$S$4:$Y$4</c:f>
              <c:numCache>
                <c:formatCode>0.000</c:formatCode>
                <c:ptCount val="7"/>
                <c:pt idx="0">
                  <c:v>2.8128769999999998</c:v>
                </c:pt>
                <c:pt idx="1">
                  <c:v>3.0492900000000001</c:v>
                </c:pt>
                <c:pt idx="2">
                  <c:v>3.0757620000000001</c:v>
                </c:pt>
                <c:pt idx="3">
                  <c:v>2.9041419999999998</c:v>
                </c:pt>
                <c:pt idx="4">
                  <c:v>3.082532</c:v>
                </c:pt>
                <c:pt idx="5">
                  <c:v>3.0123790000000001</c:v>
                </c:pt>
                <c:pt idx="6">
                  <c:v>3.1215030000000001</c:v>
                </c:pt>
              </c:numCache>
            </c:numRef>
          </c:val>
        </c:ser>
        <c:shape val="box"/>
        <c:axId val="70358144"/>
        <c:axId val="70359680"/>
        <c:axId val="0"/>
      </c:bar3DChart>
      <c:catAx>
        <c:axId val="70358144"/>
        <c:scaling>
          <c:orientation val="minMax"/>
        </c:scaling>
        <c:axPos val="b"/>
        <c:numFmt formatCode="General" sourceLinked="1"/>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0359680"/>
        <c:crosses val="autoZero"/>
        <c:auto val="1"/>
        <c:lblAlgn val="ctr"/>
        <c:lblOffset val="100"/>
        <c:tickLblSkip val="1"/>
        <c:tickMarkSkip val="1"/>
      </c:catAx>
      <c:valAx>
        <c:axId val="70359680"/>
        <c:scaling>
          <c:orientation val="minMax"/>
          <c:max val="11"/>
        </c:scaling>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spPr>
            <a:noFill/>
            <a:ln w="25400">
              <a:noFill/>
            </a:ln>
          </c:spPr>
        </c:title>
        <c:numFmt formatCode="\$#,##0" sourceLinked="0"/>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0358144"/>
        <c:crosses val="autoZero"/>
        <c:crossBetween val="between"/>
        <c:majorUnit val="1"/>
        <c:minorUnit val="1"/>
      </c:valAx>
      <c:spPr>
        <a:noFill/>
        <a:ln w="25400">
          <a:noFill/>
        </a:ln>
      </c:spPr>
    </c:plotArea>
    <c:legend>
      <c:legendPos val="b"/>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044" r="0.750000000000010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1791"/>
          <c:y val="3.1609215514728187E-2"/>
        </c:manualLayout>
      </c:layout>
      <c:spPr>
        <a:noFill/>
        <a:ln w="25400">
          <a:noFill/>
        </a:ln>
      </c:spPr>
    </c:title>
    <c:view3D>
      <c:rotX val="10"/>
      <c:hPercent val="45"/>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ser>
          <c:idx val="0"/>
          <c:order val="0"/>
          <c:spPr>
            <a:solidFill>
              <a:srgbClr val="993366"/>
            </a:solidFill>
            <a:ln w="12700">
              <a:solidFill>
                <a:srgbClr val="000000"/>
              </a:solidFill>
              <a:prstDash val="solid"/>
            </a:ln>
          </c:spPr>
          <c:cat>
            <c:numRef>
              <c:f>'Table 1.1'!$AA$8:$AA$20</c:f>
              <c:numCache>
                <c:formatCode>General</c:formatCode>
                <c:ptCount val="1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numCache>
            </c:numRef>
          </c:cat>
          <c:val>
            <c:numRef>
              <c:f>'Table 1.1'!$AB$8:$AB$20</c:f>
              <c:numCache>
                <c:formatCode>#,##0.00</c:formatCode>
                <c:ptCount val="13"/>
                <c:pt idx="0">
                  <c:v>5.41</c:v>
                </c:pt>
                <c:pt idx="1">
                  <c:v>6.09</c:v>
                </c:pt>
                <c:pt idx="2">
                  <c:v>6.55</c:v>
                </c:pt>
                <c:pt idx="3">
                  <c:v>6.37</c:v>
                </c:pt>
                <c:pt idx="4">
                  <c:v>6.44</c:v>
                </c:pt>
                <c:pt idx="5">
                  <c:v>6.82</c:v>
                </c:pt>
                <c:pt idx="6">
                  <c:v>7.36</c:v>
                </c:pt>
                <c:pt idx="7">
                  <c:v>8.41</c:v>
                </c:pt>
                <c:pt idx="8">
                  <c:v>9.1300000000000008</c:v>
                </c:pt>
                <c:pt idx="9">
                  <c:v>9.6</c:v>
                </c:pt>
                <c:pt idx="10">
                  <c:v>9.1999999999999993</c:v>
                </c:pt>
                <c:pt idx="11">
                  <c:v>8.84</c:v>
                </c:pt>
                <c:pt idx="12">
                  <c:v>9.5399999999999991</c:v>
                </c:pt>
              </c:numCache>
            </c:numRef>
          </c:val>
        </c:ser>
        <c:shape val="box"/>
        <c:axId val="70377472"/>
        <c:axId val="70379392"/>
        <c:axId val="0"/>
      </c:bar3DChart>
      <c:catAx>
        <c:axId val="70377472"/>
        <c:scaling>
          <c:orientation val="minMax"/>
        </c:scaling>
        <c:axPos val="b"/>
        <c:title>
          <c:tx>
            <c:rich>
              <a:bodyPr/>
              <a:lstStyle/>
              <a:p>
                <a:pPr>
                  <a:defRPr sz="1075" b="1" i="0" u="none" strike="noStrike" baseline="0">
                    <a:solidFill>
                      <a:srgbClr val="000000"/>
                    </a:solidFill>
                    <a:latin typeface="Arial"/>
                    <a:ea typeface="Arial"/>
                    <a:cs typeface="Arial"/>
                  </a:defRPr>
                </a:pPr>
                <a:r>
                  <a:rPr lang="en-US"/>
                  <a:t>Tax Year</a:t>
                </a:r>
              </a:p>
            </c:rich>
          </c:tx>
          <c:layout>
            <c:manualLayout>
              <c:xMode val="edge"/>
              <c:yMode val="edge"/>
              <c:x val="0.49384889645292684"/>
              <c:y val="0.79023213764946054"/>
            </c:manualLayout>
          </c:layout>
          <c:spPr>
            <a:noFill/>
            <a:ln w="25400">
              <a:noFill/>
            </a:ln>
          </c:spPr>
        </c:title>
        <c:numFmt formatCode="General" sourceLinked="1"/>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0379392"/>
        <c:crosses val="autoZero"/>
        <c:auto val="1"/>
        <c:lblAlgn val="ctr"/>
        <c:lblOffset val="100"/>
        <c:tickLblSkip val="2"/>
        <c:tickMarkSkip val="1"/>
      </c:catAx>
      <c:valAx>
        <c:axId val="70379392"/>
        <c:scaling>
          <c:orientation val="minMax"/>
          <c:min val="3"/>
        </c:scaling>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1685E-2"/>
              <c:y val="0.37643802857976238"/>
            </c:manualLayout>
          </c:layout>
          <c:spPr>
            <a:noFill/>
            <a:ln w="25400">
              <a:noFill/>
            </a:ln>
          </c:spPr>
        </c:title>
        <c:numFmt formatCode="\$#,##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0377472"/>
        <c:crosses val="autoZero"/>
        <c:crossBetween val="between"/>
        <c:majorUnit val="0.5"/>
        <c:minorUnit val="0.5"/>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711" r="0.75000000000000711"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view3D>
      <c:perspective val="0"/>
    </c:view3D>
    <c:plotArea>
      <c:layout>
        <c:manualLayout>
          <c:layoutTarget val="inner"/>
          <c:xMode val="edge"/>
          <c:yMode val="edge"/>
          <c:x val="0.24158456719233096"/>
          <c:y val="0.33453281478265812"/>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Lbls>
            <c:dLbl>
              <c:idx val="1"/>
              <c:tx>
                <c:rich>
                  <a:bodyPr/>
                  <a:lstStyle/>
                  <a:p>
                    <a:pPr>
                      <a:defRPr sz="1100" b="0" i="0" u="none" strike="noStrike" baseline="0">
                        <a:solidFill>
                          <a:srgbClr val="000000"/>
                        </a:solidFill>
                        <a:latin typeface="Arial"/>
                        <a:ea typeface="Arial"/>
                        <a:cs typeface="Arial"/>
                      </a:defRPr>
                    </a:pPr>
                    <a:r>
                      <a:rPr lang="en-US"/>
                      <a:t>Nonjoint
4%</a:t>
                    </a:r>
                  </a:p>
                </c:rich>
              </c:tx>
              <c:spPr>
                <a:noFill/>
                <a:ln w="25400">
                  <a:noFill/>
                </a:ln>
              </c:spPr>
              <c:dLblPos val="bestFi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CatName val="1"/>
            <c:showPercent val="1"/>
          </c:dLbls>
          <c:cat>
            <c:strRef>
              <c:f>'Table 1.3'!$AB$19:$AB$21</c:f>
              <c:strCache>
                <c:ptCount val="3"/>
                <c:pt idx="0">
                  <c:v>Single</c:v>
                </c:pt>
                <c:pt idx="1">
                  <c:v>Separate</c:v>
                </c:pt>
                <c:pt idx="2">
                  <c:v>Joint</c:v>
                </c:pt>
              </c:strCache>
            </c:strRef>
          </c:cat>
          <c:val>
            <c:numRef>
              <c:f>'Table 1.3'!$AC$19:$AC$21</c:f>
              <c:numCache>
                <c:formatCode>#,##0</c:formatCode>
                <c:ptCount val="3"/>
                <c:pt idx="0">
                  <c:v>1999520</c:v>
                </c:pt>
                <c:pt idx="1">
                  <c:v>138106</c:v>
                </c:pt>
                <c:pt idx="2">
                  <c:v>1451051</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044" r="0.75000000000001044"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view3D>
      <c:perspective val="0"/>
    </c:view3D>
    <c:plotArea>
      <c:layout>
        <c:manualLayout>
          <c:layoutTarget val="inner"/>
          <c:xMode val="edge"/>
          <c:yMode val="edge"/>
          <c:x val="0.21594710658536379"/>
          <c:y val="0.28668977811923008"/>
          <c:w val="0.55647908235459265"/>
          <c:h val="0.45392548202210381"/>
        </c:manualLayout>
      </c:layout>
      <c:pie3DChart>
        <c:varyColors val="1"/>
        <c:ser>
          <c:idx val="0"/>
          <c:order val="0"/>
          <c:spPr>
            <a:solidFill>
              <a:srgbClr val="9999FF"/>
            </a:solidFill>
            <a:ln w="12700">
              <a:solidFill>
                <a:srgbClr val="000000"/>
              </a:solidFill>
              <a:prstDash val="solid"/>
            </a:ln>
          </c:spPr>
          <c:explosion val="10"/>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Lbls>
            <c:dLbl>
              <c:idx val="0"/>
              <c:layout>
                <c:manualLayout>
                  <c:x val="-6.8802384382657789E-2"/>
                  <c:y val="-9.1021155929984027E-2"/>
                </c:manualLayout>
              </c:layout>
              <c:tx>
                <c:rich>
                  <a:bodyPr/>
                  <a:lstStyle/>
                  <a:p>
                    <a:r>
                      <a:rPr lang="en-US"/>
                      <a:t>Age
8%</a:t>
                    </a:r>
                  </a:p>
                </c:rich>
              </c:tx>
              <c:dLblPos val="bestFit"/>
              <c:showCatName val="1"/>
              <c:showPercent val="1"/>
            </c:dLbl>
            <c:dLbl>
              <c:idx val="1"/>
              <c:tx>
                <c:rich>
                  <a:bodyPr/>
                  <a:lstStyle/>
                  <a:p>
                    <a:pPr>
                      <a:defRPr sz="1050" b="0" i="0" u="none" strike="noStrike" baseline="0">
                        <a:solidFill>
                          <a:srgbClr val="000000"/>
                        </a:solidFill>
                        <a:latin typeface="Arial"/>
                        <a:ea typeface="Arial"/>
                        <a:cs typeface="Arial"/>
                      </a:defRPr>
                    </a:pPr>
                    <a:r>
                      <a:rPr lang="en-US"/>
                      <a:t>Blindness
less than 1%</a:t>
                    </a:r>
                  </a:p>
                </c:rich>
              </c:tx>
              <c:spPr>
                <a:noFill/>
                <a:ln w="25400">
                  <a:noFill/>
                </a:ln>
              </c:spPr>
              <c:dLblPos val="bestFit"/>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CatName val="1"/>
            <c:showPercent val="1"/>
          </c:dLbls>
          <c:cat>
            <c:strRef>
              <c:f>'Table 1.4'!$E$39:$E$42</c:f>
              <c:strCache>
                <c:ptCount val="4"/>
                <c:pt idx="0">
                  <c:v>Age</c:v>
                </c:pt>
                <c:pt idx="1">
                  <c:v>Blindness</c:v>
                </c:pt>
                <c:pt idx="2">
                  <c:v>Personal</c:v>
                </c:pt>
                <c:pt idx="3">
                  <c:v>Dependent</c:v>
                </c:pt>
              </c:strCache>
            </c:strRef>
          </c:cat>
          <c:val>
            <c:numRef>
              <c:f>'Table 1.4'!$F$39:$F$42</c:f>
              <c:numCache>
                <c:formatCode>#,##0</c:formatCode>
                <c:ptCount val="4"/>
                <c:pt idx="0">
                  <c:v>688999</c:v>
                </c:pt>
                <c:pt idx="1">
                  <c:v>10010</c:v>
                </c:pt>
                <c:pt idx="2">
                  <c:v>5054834</c:v>
                </c:pt>
                <c:pt idx="3">
                  <c:v>2353116</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5311"/>
          <c:y val="3.8690866766654196E-2"/>
        </c:manualLayout>
      </c:layout>
      <c:spPr>
        <a:noFill/>
        <a:ln w="25400">
          <a:noFill/>
        </a:ln>
      </c:spPr>
    </c:title>
    <c:view3D>
      <c:rotX val="10"/>
      <c:hPercent val="43"/>
      <c:rotY val="10"/>
      <c:depthPercent val="100"/>
      <c:rAngAx val="1"/>
    </c:view3D>
    <c:floor>
      <c:spPr>
        <a:solidFill>
          <a:srgbClr val="C0C0C0"/>
        </a:solidFill>
        <a:ln w="3175">
          <a:solidFill>
            <a:srgbClr val="000000"/>
          </a:solidFill>
          <a:prstDash val="solid"/>
        </a:ln>
      </c:spPr>
    </c:floor>
    <c:sideWall>
      <c:spPr>
        <a:solidFill>
          <a:srgbClr val="FFFFFF"/>
        </a:solidFill>
        <a:ln w="25400">
          <a:noFill/>
        </a:ln>
      </c:spPr>
    </c:sideWall>
    <c:backWall>
      <c:spPr>
        <a:solidFill>
          <a:srgbClr val="FFFFFF"/>
        </a:solidFill>
        <a:ln w="25400">
          <a:noFill/>
        </a:ln>
      </c:spPr>
    </c:backWall>
    <c:plotArea>
      <c:layout>
        <c:manualLayout>
          <c:layoutTarget val="inner"/>
          <c:xMode val="edge"/>
          <c:yMode val="edge"/>
          <c:x val="0.11930928503001839"/>
          <c:y val="0.19345336490707721"/>
          <c:w val="0.85400330337276309"/>
          <c:h val="0.59226491717704099"/>
        </c:manualLayout>
      </c:layout>
      <c:bar3DChart>
        <c:barDir val="col"/>
        <c:grouping val="clustered"/>
        <c:ser>
          <c:idx val="1"/>
          <c:order val="0"/>
          <c:tx>
            <c:strRef>
              <c:f>'Table 1.8-1.9'!$C$29</c:f>
              <c:strCache>
                <c:ptCount val="1"/>
                <c:pt idx="0">
                  <c:v>Total</c:v>
                </c:pt>
              </c:strCache>
            </c:strRef>
          </c:tx>
          <c:spPr>
            <a:solidFill>
              <a:srgbClr val="993366"/>
            </a:solidFill>
            <a:ln w="12700">
              <a:solidFill>
                <a:srgbClr val="000000"/>
              </a:solidFill>
              <a:prstDash val="solid"/>
            </a:ln>
          </c:spPr>
          <c:cat>
            <c:numRef>
              <c:f>'Table 1.8-1.9'!$I$30:$I$39</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'Table 1.8-1.9'!$J$30:$J$39</c:f>
              <c:numCache>
                <c:formatCode>"$"#,##0.0</c:formatCode>
                <c:ptCount val="10"/>
                <c:pt idx="0">
                  <c:v>22.383549670000001</c:v>
                </c:pt>
                <c:pt idx="1">
                  <c:v>23.013587100000002</c:v>
                </c:pt>
                <c:pt idx="2">
                  <c:v>21.137385800000001</c:v>
                </c:pt>
                <c:pt idx="3">
                  <c:v>22.937393359999998</c:v>
                </c:pt>
                <c:pt idx="4">
                  <c:v>14.052101029999999</c:v>
                </c:pt>
                <c:pt idx="5">
                  <c:v>15.896468560000001</c:v>
                </c:pt>
                <c:pt idx="6">
                  <c:v>15.673200720000001</c:v>
                </c:pt>
                <c:pt idx="7">
                  <c:v>16.366547060000002</c:v>
                </c:pt>
                <c:pt idx="8">
                  <c:v>17.87642293</c:v>
                </c:pt>
                <c:pt idx="9">
                  <c:v>18.578293819999999</c:v>
                </c:pt>
              </c:numCache>
            </c:numRef>
          </c:val>
        </c:ser>
        <c:shape val="box"/>
        <c:axId val="72528640"/>
        <c:axId val="72530560"/>
        <c:axId val="0"/>
      </c:bar3DChart>
      <c:catAx>
        <c:axId val="72528640"/>
        <c:scaling>
          <c:orientation val="minMax"/>
        </c:scaling>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7412"/>
              <c:y val="0.86607572490939688"/>
            </c:manualLayout>
          </c:layout>
          <c:spPr>
            <a:noFill/>
            <a:ln w="25400">
              <a:noFill/>
            </a:ln>
          </c:spPr>
        </c:title>
        <c:numFmt formatCode="General" sourceLinked="1"/>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72530560"/>
        <c:crossesAt val="10"/>
        <c:auto val="1"/>
        <c:lblAlgn val="ctr"/>
        <c:lblOffset val="100"/>
        <c:tickLblSkip val="1"/>
        <c:tickMarkSkip val="1"/>
      </c:catAx>
      <c:valAx>
        <c:axId val="72530560"/>
        <c:scaling>
          <c:orientation val="minMax"/>
          <c:min val="10"/>
        </c:scaling>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6296"/>
            </c:manualLayout>
          </c:layout>
          <c:spPr>
            <a:noFill/>
            <a:ln w="25400">
              <a:noFill/>
            </a:ln>
          </c:spPr>
        </c:title>
        <c:numFmt formatCode="\$#,##0" sourceLinked="0"/>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72528640"/>
        <c:crosses val="autoZero"/>
        <c:crossBetween val="between"/>
      </c:valAx>
      <c:spPr>
        <a:noFill/>
        <a:ln w="25400">
          <a:noFill/>
        </a:ln>
      </c:spPr>
    </c:plotArea>
    <c:plotVisOnly val="1"/>
    <c:dispBlanksAs val="gap"/>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066" r="0.75000000000001066"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spPr>
        <a:noFill/>
        <a:ln w="25400">
          <a:noFill/>
        </a:ln>
      </c:spPr>
    </c:title>
    <c:view3D>
      <c:hPercent val="49"/>
      <c:depthPercent val="100"/>
      <c:rAngAx val="1"/>
    </c:view3D>
    <c:floor>
      <c:spPr>
        <a:solidFill>
          <a:srgbClr val="C0C0C0"/>
        </a:solidFill>
        <a:ln w="3175">
          <a:solidFill>
            <a:srgbClr val="000000"/>
          </a:solidFill>
          <a:prstDash val="solid"/>
        </a:ln>
      </c:spPr>
    </c:floor>
    <c:sideWall>
      <c:spPr>
        <a:solidFill>
          <a:srgbClr val="FFFFFF"/>
        </a:solidFill>
        <a:ln w="12700">
          <a:solidFill>
            <a:srgbClr val="808080"/>
          </a:solidFill>
          <a:prstDash val="solid"/>
        </a:ln>
      </c:spPr>
    </c:sideWall>
    <c:backWall>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0056"/>
          <c:h val="0.63500135650925904"/>
        </c:manualLayout>
      </c:layout>
      <c:bar3DChart>
        <c:barDir val="col"/>
        <c:grouping val="stacked"/>
        <c:ser>
          <c:idx val="0"/>
          <c:order val="0"/>
          <c:tx>
            <c:strRef>
              <c:f>'Table 2.1'!$D$5</c:f>
              <c:strCache>
                <c:ptCount val="1"/>
                <c:pt idx="0">
                  <c:v>Amount</c:v>
                </c:pt>
              </c:strCache>
            </c:strRef>
          </c:tx>
          <c:spPr>
            <a:solidFill>
              <a:srgbClr val="9999FF"/>
            </a:solidFill>
            <a:ln w="12700">
              <a:solidFill>
                <a:srgbClr val="000000"/>
              </a:solidFill>
              <a:prstDash val="solid"/>
            </a:ln>
          </c:spPr>
          <c:cat>
            <c:numRef>
              <c:f>'Table 2.1'!$A$6:$A$16</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 2.1'!$D$6:$D$16</c:f>
              <c:numCache>
                <c:formatCode>#,##0</c:formatCode>
                <c:ptCount val="11"/>
                <c:pt idx="0" formatCode="&quot;$&quot;#,##0">
                  <c:v>290215035</c:v>
                </c:pt>
                <c:pt idx="1">
                  <c:v>343318607</c:v>
                </c:pt>
                <c:pt idx="2">
                  <c:v>425715754</c:v>
                </c:pt>
                <c:pt idx="3">
                  <c:v>616690263</c:v>
                </c:pt>
                <c:pt idx="4">
                  <c:v>867115786</c:v>
                </c:pt>
                <c:pt idx="5">
                  <c:v>879575371</c:v>
                </c:pt>
                <c:pt idx="6">
                  <c:v>807851584</c:v>
                </c:pt>
                <c:pt idx="7">
                  <c:v>648032537</c:v>
                </c:pt>
                <c:pt idx="8">
                  <c:v>806472760</c:v>
                </c:pt>
                <c:pt idx="9">
                  <c:v>822258802.83999991</c:v>
                </c:pt>
                <c:pt idx="10">
                  <c:v>859922839.54999995</c:v>
                </c:pt>
              </c:numCache>
            </c:numRef>
          </c:val>
        </c:ser>
        <c:shape val="box"/>
        <c:axId val="73149440"/>
        <c:axId val="73151616"/>
        <c:axId val="0"/>
      </c:bar3DChart>
      <c:catAx>
        <c:axId val="73149440"/>
        <c:scaling>
          <c:orientation val="minMax"/>
        </c:scaling>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spPr>
            <a:noFill/>
            <a:ln w="25400">
              <a:noFill/>
            </a:ln>
          </c:spPr>
        </c:title>
        <c:numFmt formatCode="General" sourceLinked="1"/>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151616"/>
        <c:crosses val="autoZero"/>
        <c:auto val="1"/>
        <c:lblAlgn val="ctr"/>
        <c:lblOffset val="100"/>
        <c:tickLblSkip val="1"/>
        <c:tickMarkSkip val="1"/>
      </c:catAx>
      <c:valAx>
        <c:axId val="73151616"/>
        <c:scaling>
          <c:orientation val="minMax"/>
        </c:scaling>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7552"/>
            </c:manualLayout>
          </c:layout>
          <c:spPr>
            <a:noFill/>
            <a:ln w="25400">
              <a:noFill/>
            </a:ln>
          </c:spPr>
        </c:title>
        <c:numFmt formatCode="&quot;$&quot;#,##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3149440"/>
        <c:crosses val="autoZero"/>
        <c:crossBetween val="between"/>
        <c:dispUnits>
          <c:builtInUnit val="millions"/>
        </c:dispUnits>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066" r="0.75000000000001066"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243840</xdr:colOff>
      <xdr:row>23</xdr:row>
      <xdr:rowOff>22860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838200</xdr:colOff>
      <xdr:row>26</xdr:row>
      <xdr:rowOff>144780</xdr:rowOff>
    </xdr:from>
    <xdr:to>
      <xdr:col>11</xdr:col>
      <xdr:colOff>114300</xdr:colOff>
      <xdr:row>49</xdr:row>
      <xdr:rowOff>71120</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388620</xdr:colOff>
      <xdr:row>30</xdr:row>
      <xdr:rowOff>53340</xdr:rowOff>
    </xdr:from>
    <xdr:to>
      <xdr:col>5</xdr:col>
      <xdr:colOff>1129665</xdr:colOff>
      <xdr:row>44</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53340</xdr:colOff>
      <xdr:row>193</xdr:row>
      <xdr:rowOff>83820</xdr:rowOff>
    </xdr:from>
    <xdr:to>
      <xdr:col>19</xdr:col>
      <xdr:colOff>266700</xdr:colOff>
      <xdr:row>193</xdr:row>
      <xdr:rowOff>83820</xdr:rowOff>
    </xdr:to>
    <xdr:sp macro="" textlink="">
      <xdr:nvSpPr>
        <xdr:cNvPr id="952729" name="Line 1"/>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19</xdr:col>
      <xdr:colOff>53340</xdr:colOff>
      <xdr:row>196</xdr:row>
      <xdr:rowOff>76200</xdr:rowOff>
    </xdr:from>
    <xdr:to>
      <xdr:col>19</xdr:col>
      <xdr:colOff>274320</xdr:colOff>
      <xdr:row>196</xdr:row>
      <xdr:rowOff>76200</xdr:rowOff>
    </xdr:to>
    <xdr:sp macro="" textlink="">
      <xdr:nvSpPr>
        <xdr:cNvPr id="952730" name="Line 2"/>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twoCellAnchor>
    <xdr:from>
      <xdr:col>19</xdr:col>
      <xdr:colOff>53340</xdr:colOff>
      <xdr:row>193</xdr:row>
      <xdr:rowOff>83820</xdr:rowOff>
    </xdr:from>
    <xdr:to>
      <xdr:col>19</xdr:col>
      <xdr:colOff>266700</xdr:colOff>
      <xdr:row>193</xdr:row>
      <xdr:rowOff>83820</xdr:rowOff>
    </xdr:to>
    <xdr:sp macro="" textlink="">
      <xdr:nvSpPr>
        <xdr:cNvPr id="952731" name="Line 3"/>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19</xdr:col>
      <xdr:colOff>53340</xdr:colOff>
      <xdr:row>196</xdr:row>
      <xdr:rowOff>76200</xdr:rowOff>
    </xdr:from>
    <xdr:to>
      <xdr:col>19</xdr:col>
      <xdr:colOff>274320</xdr:colOff>
      <xdr:row>196</xdr:row>
      <xdr:rowOff>76200</xdr:rowOff>
    </xdr:to>
    <xdr:sp macro="" textlink="">
      <xdr:nvSpPr>
        <xdr:cNvPr id="952732" name="Line 4"/>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21</xdr:row>
      <xdr:rowOff>0</xdr:rowOff>
    </xdr:from>
    <xdr:to>
      <xdr:col>9</xdr:col>
      <xdr:colOff>274320</xdr:colOff>
      <xdr:row>40</xdr:row>
      <xdr:rowOff>30480</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845820</xdr:colOff>
      <xdr:row>0</xdr:row>
      <xdr:rowOff>0</xdr:rowOff>
    </xdr:from>
    <xdr:to>
      <xdr:col>9</xdr:col>
      <xdr:colOff>274320</xdr:colOff>
      <xdr:row>18</xdr:row>
      <xdr:rowOff>68580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365760</xdr:colOff>
      <xdr:row>35</xdr:row>
      <xdr:rowOff>160020</xdr:rowOff>
    </xdr:from>
    <xdr:to>
      <xdr:col>6</xdr:col>
      <xdr:colOff>0</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7620</xdr:colOff>
      <xdr:row>35</xdr:row>
      <xdr:rowOff>7620</xdr:rowOff>
    </xdr:from>
    <xdr:to>
      <xdr:col>7</xdr:col>
      <xdr:colOff>381000</xdr:colOff>
      <xdr:row>48</xdr:row>
      <xdr:rowOff>60960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586740</xdr:colOff>
      <xdr:row>24</xdr:row>
      <xdr:rowOff>137160</xdr:rowOff>
    </xdr:from>
    <xdr:to>
      <xdr:col>13</xdr:col>
      <xdr:colOff>0</xdr:colOff>
      <xdr:row>40</xdr:row>
      <xdr:rowOff>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xdr:row>
      <xdr:rowOff>0</xdr:rowOff>
    </xdr:from>
    <xdr:to>
      <xdr:col>4</xdr:col>
      <xdr:colOff>0</xdr:colOff>
      <xdr:row>36</xdr:row>
      <xdr:rowOff>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1005840</xdr:colOff>
      <xdr:row>31</xdr:row>
      <xdr:rowOff>7620</xdr:rowOff>
    </xdr:from>
    <xdr:to>
      <xdr:col>5</xdr:col>
      <xdr:colOff>1051560</xdr:colOff>
      <xdr:row>46</xdr:row>
      <xdr:rowOff>106680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xdr:colOff>
      <xdr:row>29</xdr:row>
      <xdr:rowOff>121920</xdr:rowOff>
    </xdr:from>
    <xdr:to>
      <xdr:col>6</xdr:col>
      <xdr:colOff>60960</xdr:colOff>
      <xdr:row>52</xdr:row>
      <xdr:rowOff>45720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vgh89228\My%20Documents\Annual%20Report%20Info\2010%20Annual%20Report\Otto's%20Annual%20Report%20FY%2020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itle Page"/>
      <sheetName val="AnnRptCont"/>
      <sheetName val="Rev.Exp."/>
      <sheetName val="By Account"/>
      <sheetName val="Table 1.1"/>
      <sheetName val="Table 1.2"/>
      <sheetName val="Table 1.3"/>
      <sheetName val="Table 1.4"/>
      <sheetName val="Table 1.5"/>
      <sheetName val="Table1.6"/>
      <sheetName val="Table 1.7"/>
      <sheetName val="Table 1.8-1.9"/>
      <sheetName val="Table 1.10"/>
      <sheetName val="Table 2.1"/>
      <sheetName val="Table 2.2"/>
      <sheetName val="Table 3.1"/>
      <sheetName val="Table 4.1"/>
      <sheetName val="Table 4.2"/>
      <sheetName val="Table 4.3"/>
      <sheetName val="Table 4.4"/>
      <sheetName val="Table 5.1"/>
      <sheetName val="Table 5.2"/>
      <sheetName val="Tables 5.3-5.4"/>
      <sheetName val="Table 5.5"/>
      <sheetName val="Table 5.6"/>
      <sheetName val="Table 6.1"/>
      <sheetName val="Table 6.2"/>
      <sheetName val="Table 6.3"/>
      <sheetName val="Table 6.4"/>
      <sheetName val="Directory"/>
    </sheetNames>
    <sheetDataSet>
      <sheetData sheetId="0"/>
      <sheetData sheetId="1"/>
      <sheetData sheetId="2"/>
      <sheetData sheetId="3"/>
      <sheetData sheetId="4"/>
      <sheetData sheetId="5">
        <row r="3">
          <cell r="A3" t="str">
            <v>Taxable Year 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4"/>
  <dimension ref="A1:H20"/>
  <sheetViews>
    <sheetView tabSelected="1" zoomScaleNormal="100" workbookViewId="0">
      <selection activeCell="J9" sqref="J9"/>
    </sheetView>
  </sheetViews>
  <sheetFormatPr defaultRowHeight="12.75"/>
  <sheetData>
    <row r="1" spans="1:8" ht="15">
      <c r="A1" s="194"/>
      <c r="B1" s="194"/>
      <c r="C1" s="194"/>
      <c r="D1" s="194"/>
      <c r="E1" s="194"/>
      <c r="F1" s="194"/>
      <c r="G1" s="194"/>
      <c r="H1" s="194"/>
    </row>
    <row r="2" spans="1:8" ht="15">
      <c r="A2" s="194"/>
      <c r="B2" s="194"/>
      <c r="C2" s="194"/>
      <c r="D2" s="194"/>
      <c r="E2" s="194"/>
      <c r="F2" s="194"/>
      <c r="G2" s="194"/>
      <c r="H2" s="194"/>
    </row>
    <row r="3" spans="1:8" ht="15">
      <c r="A3" s="194"/>
      <c r="B3" s="194"/>
      <c r="C3" s="194"/>
      <c r="D3" s="194"/>
      <c r="E3" s="194"/>
      <c r="F3" s="194"/>
      <c r="G3" s="194"/>
      <c r="H3" s="194"/>
    </row>
    <row r="4" spans="1:8" ht="15">
      <c r="A4" s="194"/>
      <c r="B4" s="194"/>
      <c r="C4" s="194"/>
      <c r="D4" s="194"/>
      <c r="E4" s="194"/>
      <c r="F4" s="194"/>
      <c r="G4" s="194"/>
      <c r="H4" s="194"/>
    </row>
    <row r="5" spans="1:8" ht="20.25">
      <c r="A5" s="1025" t="s">
        <v>379</v>
      </c>
      <c r="B5" s="1025"/>
      <c r="C5" s="1025"/>
      <c r="D5" s="1025"/>
      <c r="E5" s="1025"/>
      <c r="F5" s="1025"/>
      <c r="G5" s="1025"/>
      <c r="H5" s="1025"/>
    </row>
    <row r="6" spans="1:8" ht="20.25">
      <c r="A6" s="195"/>
      <c r="B6" s="196"/>
      <c r="C6" s="196"/>
      <c r="D6" s="196"/>
      <c r="E6" s="196"/>
      <c r="F6" s="196"/>
      <c r="G6" s="196"/>
      <c r="H6" s="196"/>
    </row>
    <row r="7" spans="1:8" ht="20.25">
      <c r="A7" s="1025" t="s">
        <v>400</v>
      </c>
      <c r="B7" s="1025"/>
      <c r="C7" s="1025"/>
      <c r="D7" s="1025"/>
      <c r="E7" s="1025"/>
      <c r="F7" s="1025"/>
      <c r="G7" s="1025"/>
      <c r="H7" s="1025"/>
    </row>
    <row r="8" spans="1:8" ht="20.25">
      <c r="A8" s="195"/>
      <c r="B8" s="196"/>
      <c r="C8" s="196"/>
      <c r="D8" s="196"/>
      <c r="E8" s="196"/>
      <c r="F8" s="196"/>
      <c r="G8" s="196"/>
      <c r="H8" s="196"/>
    </row>
    <row r="9" spans="1:8" ht="20.25">
      <c r="A9" s="1025" t="s">
        <v>1060</v>
      </c>
      <c r="B9" s="1025"/>
      <c r="C9" s="1025"/>
      <c r="D9" s="1025"/>
      <c r="E9" s="1025"/>
      <c r="F9" s="1025"/>
      <c r="G9" s="1025"/>
      <c r="H9" s="1025"/>
    </row>
    <row r="10" spans="1:8" ht="15.75">
      <c r="A10" s="197"/>
      <c r="B10" s="198"/>
      <c r="C10" s="198"/>
      <c r="D10" s="198"/>
      <c r="E10" s="198"/>
      <c r="F10" s="198"/>
      <c r="G10" s="198"/>
      <c r="H10" s="198"/>
    </row>
    <row r="11" spans="1:8" ht="15.75">
      <c r="A11" s="197"/>
      <c r="B11" s="198"/>
      <c r="C11" s="198"/>
      <c r="D11" s="198"/>
      <c r="E11" s="198"/>
      <c r="F11" s="198"/>
      <c r="G11" s="198"/>
      <c r="H11" s="198"/>
    </row>
    <row r="12" spans="1:8" ht="18">
      <c r="A12" s="1024" t="s">
        <v>401</v>
      </c>
      <c r="B12" s="1024"/>
      <c r="C12" s="1024"/>
      <c r="D12" s="1024"/>
      <c r="E12" s="1024"/>
      <c r="F12" s="1024"/>
      <c r="G12" s="1024"/>
      <c r="H12" s="1024"/>
    </row>
    <row r="13" spans="1:8" ht="18">
      <c r="A13" s="1024" t="s">
        <v>402</v>
      </c>
      <c r="B13" s="1024"/>
      <c r="C13" s="1024"/>
      <c r="D13" s="1024"/>
      <c r="E13" s="1024"/>
      <c r="F13" s="1024"/>
      <c r="G13" s="1024"/>
      <c r="H13" s="1024"/>
    </row>
    <row r="14" spans="1:8" ht="18">
      <c r="A14" s="199"/>
      <c r="B14" s="199"/>
      <c r="C14" s="199"/>
      <c r="D14" s="199"/>
      <c r="E14" s="199"/>
      <c r="F14" s="199"/>
      <c r="G14" s="199"/>
      <c r="H14" s="199"/>
    </row>
    <row r="15" spans="1:8" ht="18">
      <c r="A15" s="199"/>
      <c r="B15" s="199"/>
      <c r="C15" s="199"/>
      <c r="D15" s="199"/>
      <c r="E15" s="199"/>
      <c r="F15" s="199"/>
      <c r="G15" s="199"/>
      <c r="H15" s="199"/>
    </row>
    <row r="16" spans="1:8" ht="18">
      <c r="A16" s="1024" t="s">
        <v>403</v>
      </c>
      <c r="B16" s="1024"/>
      <c r="C16" s="1024"/>
      <c r="D16" s="1024"/>
      <c r="E16" s="1024"/>
      <c r="F16" s="1024"/>
      <c r="G16" s="1024"/>
      <c r="H16" s="1024"/>
    </row>
    <row r="17" spans="1:8" ht="18">
      <c r="A17" s="199"/>
      <c r="B17" s="199"/>
      <c r="C17" s="199"/>
      <c r="D17" s="199"/>
      <c r="E17" s="199"/>
      <c r="F17" s="199"/>
      <c r="G17" s="199"/>
      <c r="H17" s="199"/>
    </row>
    <row r="18" spans="1:8" ht="18">
      <c r="A18" s="1024" t="s">
        <v>404</v>
      </c>
      <c r="B18" s="1024"/>
      <c r="C18" s="1024"/>
      <c r="D18" s="1024"/>
      <c r="E18" s="1024"/>
      <c r="F18" s="1024"/>
      <c r="G18" s="1024"/>
      <c r="H18" s="1024"/>
    </row>
    <row r="19" spans="1:8" ht="18">
      <c r="A19" s="199"/>
      <c r="B19" s="199"/>
      <c r="C19" s="199"/>
      <c r="D19" s="199"/>
      <c r="E19" s="199"/>
      <c r="F19" s="199"/>
      <c r="G19" s="199"/>
      <c r="H19" s="199"/>
    </row>
    <row r="20" spans="1:8" ht="18">
      <c r="A20" s="1024" t="s">
        <v>405</v>
      </c>
      <c r="B20" s="1024"/>
      <c r="C20" s="1024"/>
      <c r="D20" s="1024"/>
      <c r="E20" s="1024"/>
      <c r="F20" s="1024"/>
      <c r="G20" s="1024"/>
      <c r="H20" s="1024"/>
    </row>
  </sheetData>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sheetPr codeName="Sheet9"/>
  <dimension ref="A1:N211"/>
  <sheetViews>
    <sheetView showOutlineSymbols="0" zoomScaleNormal="100" workbookViewId="0"/>
  </sheetViews>
  <sheetFormatPr defaultColWidth="10.7109375" defaultRowHeight="15"/>
  <cols>
    <col min="1" max="1" width="15" style="414" customWidth="1"/>
    <col min="2" max="2" width="12.7109375" style="414" bestFit="1" customWidth="1"/>
    <col min="3" max="3" width="15.85546875" style="414" customWidth="1"/>
    <col min="4" max="4" width="2.7109375" style="414" customWidth="1"/>
    <col min="5" max="6" width="12" style="414" bestFit="1" customWidth="1"/>
    <col min="7" max="7" width="17.5703125" style="414" customWidth="1"/>
    <col min="8" max="8" width="12.7109375" style="414" bestFit="1" customWidth="1"/>
    <col min="9" max="9" width="2.5703125" style="414" customWidth="1"/>
    <col min="10" max="10" width="12" style="414" bestFit="1" customWidth="1"/>
    <col min="11" max="11" width="12.28515625" style="414" bestFit="1" customWidth="1"/>
    <col min="12" max="12" width="11.140625" style="414" bestFit="1" customWidth="1"/>
    <col min="13" max="16384" width="10.7109375" style="414"/>
  </cols>
  <sheetData>
    <row r="1" spans="1:13" ht="18">
      <c r="A1" s="397" t="s">
        <v>830</v>
      </c>
      <c r="B1" s="905"/>
      <c r="C1" s="877"/>
      <c r="D1" s="877"/>
      <c r="E1" s="905"/>
      <c r="F1" s="905"/>
      <c r="G1" s="877"/>
      <c r="H1" s="905"/>
      <c r="I1" s="905"/>
      <c r="J1" s="905"/>
      <c r="K1" s="905"/>
      <c r="L1" s="877"/>
    </row>
    <row r="2" spans="1:13" ht="15.75">
      <c r="A2" s="400" t="s">
        <v>831</v>
      </c>
      <c r="B2" s="905"/>
      <c r="C2" s="877"/>
      <c r="D2" s="877"/>
      <c r="E2" s="905"/>
      <c r="F2" s="905"/>
      <c r="G2" s="877"/>
      <c r="H2" s="905"/>
      <c r="I2" s="905"/>
      <c r="J2" s="906"/>
      <c r="K2" s="906"/>
      <c r="L2" s="901"/>
    </row>
    <row r="3" spans="1:13" ht="15.75">
      <c r="A3" s="430" t="str">
        <f>'[7]Table 1.2'!A3</f>
        <v>Taxable Year 2010</v>
      </c>
      <c r="B3" s="906"/>
      <c r="C3" s="901"/>
      <c r="D3" s="901"/>
      <c r="E3" s="906"/>
      <c r="F3" s="906"/>
      <c r="G3" s="901"/>
      <c r="H3" s="906"/>
      <c r="I3" s="906"/>
      <c r="J3" s="906"/>
      <c r="K3" s="906"/>
      <c r="L3" s="901"/>
    </row>
    <row r="4" spans="1:13" ht="13.15" customHeight="1" thickBot="1">
      <c r="A4" s="899"/>
      <c r="B4" s="906"/>
      <c r="C4" s="901"/>
      <c r="D4" s="901"/>
      <c r="E4" s="906"/>
      <c r="F4" s="906"/>
      <c r="G4" s="901"/>
      <c r="H4" s="906"/>
      <c r="I4" s="906"/>
      <c r="J4" s="906"/>
      <c r="K4" s="906"/>
      <c r="L4" s="901"/>
      <c r="M4" s="431"/>
    </row>
    <row r="5" spans="1:13">
      <c r="A5" s="907"/>
      <c r="B5" s="1028" t="s">
        <v>505</v>
      </c>
      <c r="C5" s="1028"/>
      <c r="D5" s="908"/>
      <c r="E5" s="1029" t="s">
        <v>506</v>
      </c>
      <c r="F5" s="1030"/>
      <c r="G5" s="1030"/>
      <c r="H5" s="1030"/>
      <c r="I5" s="909"/>
      <c r="J5" s="910"/>
      <c r="K5" s="911" t="s">
        <v>832</v>
      </c>
      <c r="L5" s="912"/>
      <c r="M5" s="431"/>
    </row>
    <row r="6" spans="1:13" ht="13.15" customHeight="1">
      <c r="A6" s="913"/>
      <c r="B6" s="914"/>
      <c r="C6" s="915"/>
      <c r="D6" s="915"/>
      <c r="E6" s="916"/>
      <c r="F6" s="914"/>
      <c r="G6" s="915"/>
      <c r="H6" s="917" t="s">
        <v>25</v>
      </c>
      <c r="I6" s="918"/>
      <c r="J6" s="917"/>
      <c r="K6" s="917" t="s">
        <v>492</v>
      </c>
      <c r="L6" s="913" t="s">
        <v>492</v>
      </c>
    </row>
    <row r="7" spans="1:13" ht="13.15" customHeight="1">
      <c r="A7" s="880" t="s">
        <v>33</v>
      </c>
      <c r="B7" s="919" t="s">
        <v>833</v>
      </c>
      <c r="C7" s="880" t="s">
        <v>30</v>
      </c>
      <c r="D7" s="880"/>
      <c r="E7" s="920" t="s">
        <v>502</v>
      </c>
      <c r="F7" s="919" t="s">
        <v>501</v>
      </c>
      <c r="G7" s="880" t="s">
        <v>30</v>
      </c>
      <c r="H7" s="919" t="s">
        <v>497</v>
      </c>
      <c r="I7" s="921"/>
      <c r="J7" s="919" t="s">
        <v>834</v>
      </c>
      <c r="K7" s="919" t="s">
        <v>494</v>
      </c>
      <c r="L7" s="880" t="s">
        <v>495</v>
      </c>
    </row>
    <row r="8" spans="1:13" ht="10.7" customHeight="1">
      <c r="A8" s="901"/>
      <c r="B8" s="906"/>
      <c r="C8" s="901"/>
      <c r="D8" s="901"/>
      <c r="E8" s="922"/>
      <c r="F8" s="906"/>
      <c r="G8" s="901"/>
      <c r="H8" s="906"/>
      <c r="I8" s="923"/>
      <c r="J8" s="906"/>
      <c r="K8" s="906"/>
      <c r="L8" s="901"/>
    </row>
    <row r="9" spans="1:13" ht="13.15" customHeight="1">
      <c r="A9" s="884" t="s">
        <v>522</v>
      </c>
      <c r="B9" s="889">
        <v>36655</v>
      </c>
      <c r="C9" s="924">
        <v>33410366.689999986</v>
      </c>
      <c r="D9" s="924"/>
      <c r="E9" s="925">
        <v>11529</v>
      </c>
      <c r="F9" s="895">
        <v>4206</v>
      </c>
      <c r="G9" s="924">
        <v>137510626.69999999</v>
      </c>
      <c r="H9" s="895">
        <v>15735</v>
      </c>
      <c r="I9" s="926"/>
      <c r="J9" s="895">
        <v>9271</v>
      </c>
      <c r="K9" s="889">
        <v>5909</v>
      </c>
      <c r="L9" s="905">
        <v>555</v>
      </c>
    </row>
    <row r="10" spans="1:13" ht="13.15" customHeight="1">
      <c r="A10" s="887" t="s">
        <v>526</v>
      </c>
      <c r="B10" s="889">
        <v>97210</v>
      </c>
      <c r="C10" s="895">
        <v>87957241.659999982</v>
      </c>
      <c r="D10" s="895"/>
      <c r="E10" s="925">
        <v>22581</v>
      </c>
      <c r="F10" s="895">
        <v>18679</v>
      </c>
      <c r="G10" s="895">
        <v>756097040.24000001</v>
      </c>
      <c r="H10" s="895">
        <v>41260</v>
      </c>
      <c r="I10" s="926"/>
      <c r="J10" s="895">
        <v>22077</v>
      </c>
      <c r="K10" s="889">
        <v>18094</v>
      </c>
      <c r="L10" s="905">
        <v>1089</v>
      </c>
    </row>
    <row r="11" spans="1:13" ht="13.15" customHeight="1">
      <c r="A11" s="887" t="s">
        <v>530</v>
      </c>
      <c r="B11" s="889">
        <v>16219</v>
      </c>
      <c r="C11" s="895">
        <v>14780723.540000001</v>
      </c>
      <c r="D11" s="895"/>
      <c r="E11" s="925">
        <v>5390</v>
      </c>
      <c r="F11" s="895">
        <v>1436</v>
      </c>
      <c r="G11" s="895">
        <v>50040200.310000002</v>
      </c>
      <c r="H11" s="895">
        <v>6826</v>
      </c>
      <c r="I11" s="926"/>
      <c r="J11" s="895">
        <v>3311</v>
      </c>
      <c r="K11" s="889">
        <v>3343</v>
      </c>
      <c r="L11" s="905">
        <v>172</v>
      </c>
    </row>
    <row r="12" spans="1:13" ht="13.15" customHeight="1">
      <c r="A12" s="887" t="s">
        <v>534</v>
      </c>
      <c r="B12" s="889">
        <v>13288</v>
      </c>
      <c r="C12" s="895">
        <v>12163758.540000003</v>
      </c>
      <c r="D12" s="895"/>
      <c r="E12" s="925">
        <v>3631</v>
      </c>
      <c r="F12" s="895">
        <v>1902</v>
      </c>
      <c r="G12" s="895">
        <v>45810342</v>
      </c>
      <c r="H12" s="895">
        <v>5533</v>
      </c>
      <c r="I12" s="926"/>
      <c r="J12" s="895">
        <v>2780</v>
      </c>
      <c r="K12" s="889">
        <v>2602</v>
      </c>
      <c r="L12" s="905">
        <v>151</v>
      </c>
    </row>
    <row r="13" spans="1:13" ht="13.15" customHeight="1">
      <c r="A13" s="887" t="s">
        <v>538</v>
      </c>
      <c r="B13" s="889">
        <v>30148</v>
      </c>
      <c r="C13" s="895">
        <v>27570913.420000002</v>
      </c>
      <c r="D13" s="895"/>
      <c r="E13" s="925">
        <v>9249</v>
      </c>
      <c r="F13" s="895">
        <v>3704</v>
      </c>
      <c r="G13" s="895">
        <v>96369159.599999994</v>
      </c>
      <c r="H13" s="895">
        <v>12953</v>
      </c>
      <c r="I13" s="926"/>
      <c r="J13" s="895">
        <v>6805</v>
      </c>
      <c r="K13" s="889">
        <v>5850</v>
      </c>
      <c r="L13" s="905">
        <v>298</v>
      </c>
    </row>
    <row r="14" spans="1:13" ht="10.7" customHeight="1">
      <c r="A14" s="887"/>
      <c r="B14" s="889"/>
      <c r="C14" s="895"/>
      <c r="D14" s="895"/>
      <c r="E14" s="925"/>
      <c r="F14" s="895"/>
      <c r="G14" s="895"/>
      <c r="H14" s="895"/>
      <c r="I14" s="926"/>
      <c r="J14" s="895"/>
      <c r="K14" s="889"/>
      <c r="L14" s="905"/>
    </row>
    <row r="15" spans="1:13" ht="13.15" customHeight="1">
      <c r="A15" s="887" t="s">
        <v>542</v>
      </c>
      <c r="B15" s="889">
        <v>15033</v>
      </c>
      <c r="C15" s="895">
        <v>13724068.740000004</v>
      </c>
      <c r="D15" s="895"/>
      <c r="E15" s="925">
        <v>4682</v>
      </c>
      <c r="F15" s="895">
        <v>1679</v>
      </c>
      <c r="G15" s="895">
        <v>44867117.400000006</v>
      </c>
      <c r="H15" s="895">
        <v>6361</v>
      </c>
      <c r="I15" s="926"/>
      <c r="J15" s="895">
        <v>3201</v>
      </c>
      <c r="K15" s="889">
        <v>2996</v>
      </c>
      <c r="L15" s="905">
        <v>164</v>
      </c>
    </row>
    <row r="16" spans="1:13" ht="13.15" customHeight="1">
      <c r="A16" s="887" t="s">
        <v>546</v>
      </c>
      <c r="B16" s="889">
        <v>212210</v>
      </c>
      <c r="C16" s="895">
        <v>190231780.38999999</v>
      </c>
      <c r="D16" s="895"/>
      <c r="E16" s="925">
        <v>64439</v>
      </c>
      <c r="F16" s="895">
        <v>55535</v>
      </c>
      <c r="G16" s="895">
        <v>1642250897.4799995</v>
      </c>
      <c r="H16" s="895">
        <v>119974</v>
      </c>
      <c r="I16" s="926"/>
      <c r="J16" s="895">
        <v>83006</v>
      </c>
      <c r="K16" s="889">
        <v>32748</v>
      </c>
      <c r="L16" s="905">
        <v>4220</v>
      </c>
    </row>
    <row r="17" spans="1:12" ht="13.15" customHeight="1">
      <c r="A17" s="887" t="s">
        <v>550</v>
      </c>
      <c r="B17" s="889">
        <v>73848</v>
      </c>
      <c r="C17" s="895">
        <v>67374113.379999995</v>
      </c>
      <c r="D17" s="895"/>
      <c r="E17" s="925">
        <v>20952</v>
      </c>
      <c r="F17" s="895">
        <v>10306</v>
      </c>
      <c r="G17" s="895">
        <v>251658685.05000001</v>
      </c>
      <c r="H17" s="895">
        <v>31258</v>
      </c>
      <c r="I17" s="926"/>
      <c r="J17" s="895">
        <v>14825</v>
      </c>
      <c r="K17" s="889">
        <v>15745</v>
      </c>
      <c r="L17" s="905">
        <v>688</v>
      </c>
    </row>
    <row r="18" spans="1:12" ht="13.15" customHeight="1">
      <c r="A18" s="887" t="s">
        <v>554</v>
      </c>
      <c r="B18" s="889">
        <v>5303</v>
      </c>
      <c r="C18" s="895">
        <v>4807393.6100000003</v>
      </c>
      <c r="D18" s="895"/>
      <c r="E18" s="925">
        <v>1842</v>
      </c>
      <c r="F18" s="895">
        <v>494</v>
      </c>
      <c r="G18" s="895">
        <v>20388173.699999999</v>
      </c>
      <c r="H18" s="895">
        <v>2336</v>
      </c>
      <c r="I18" s="926"/>
      <c r="J18" s="895">
        <v>1235</v>
      </c>
      <c r="K18" s="889">
        <v>1043</v>
      </c>
      <c r="L18" s="905">
        <v>58</v>
      </c>
    </row>
    <row r="19" spans="1:12" ht="13.15" customHeight="1">
      <c r="A19" s="887" t="s">
        <v>558</v>
      </c>
      <c r="B19" s="889">
        <v>71784</v>
      </c>
      <c r="C19" s="895">
        <v>65347992.150000013</v>
      </c>
      <c r="D19" s="895"/>
      <c r="E19" s="925">
        <v>18387</v>
      </c>
      <c r="F19" s="895">
        <v>11144</v>
      </c>
      <c r="G19" s="895">
        <v>268544226.80999994</v>
      </c>
      <c r="H19" s="895">
        <v>29531</v>
      </c>
      <c r="I19" s="926"/>
      <c r="J19" s="895">
        <v>13057</v>
      </c>
      <c r="K19" s="889">
        <v>15851</v>
      </c>
      <c r="L19" s="905">
        <v>623</v>
      </c>
    </row>
    <row r="20" spans="1:12" ht="10.7" customHeight="1">
      <c r="A20" s="887"/>
      <c r="B20" s="889"/>
      <c r="C20" s="895"/>
      <c r="D20" s="895"/>
      <c r="E20" s="925"/>
      <c r="F20" s="895"/>
      <c r="G20" s="895"/>
      <c r="H20" s="895"/>
      <c r="I20" s="926"/>
      <c r="J20" s="895"/>
      <c r="K20" s="889"/>
      <c r="L20" s="905"/>
    </row>
    <row r="21" spans="1:12" ht="13.15" customHeight="1">
      <c r="A21" s="887" t="s">
        <v>562</v>
      </c>
      <c r="B21" s="889">
        <v>5876</v>
      </c>
      <c r="C21" s="895">
        <v>5368308.54</v>
      </c>
      <c r="D21" s="895"/>
      <c r="E21" s="925">
        <v>2058</v>
      </c>
      <c r="F21" s="895">
        <v>444</v>
      </c>
      <c r="G21" s="895">
        <v>16712570.200000001</v>
      </c>
      <c r="H21" s="895">
        <v>2502</v>
      </c>
      <c r="I21" s="926"/>
      <c r="J21" s="895">
        <v>1113</v>
      </c>
      <c r="K21" s="889">
        <v>1325</v>
      </c>
      <c r="L21" s="905">
        <v>64</v>
      </c>
    </row>
    <row r="22" spans="1:12" ht="13.15" customHeight="1">
      <c r="A22" s="887" t="s">
        <v>566</v>
      </c>
      <c r="B22" s="889">
        <v>33444</v>
      </c>
      <c r="C22" s="895">
        <v>30485691.97000001</v>
      </c>
      <c r="D22" s="895"/>
      <c r="E22" s="925">
        <v>8147</v>
      </c>
      <c r="F22" s="895">
        <v>5702</v>
      </c>
      <c r="G22" s="895">
        <v>133249293.17000002</v>
      </c>
      <c r="H22" s="895">
        <v>13849</v>
      </c>
      <c r="I22" s="926"/>
      <c r="J22" s="895">
        <v>6050</v>
      </c>
      <c r="K22" s="889">
        <v>7502</v>
      </c>
      <c r="L22" s="905">
        <v>297</v>
      </c>
    </row>
    <row r="23" spans="1:12" ht="13.15" customHeight="1">
      <c r="A23" s="887" t="s">
        <v>570</v>
      </c>
      <c r="B23" s="889">
        <v>14349</v>
      </c>
      <c r="C23" s="895">
        <v>13138196.300000003</v>
      </c>
      <c r="D23" s="895"/>
      <c r="E23" s="925">
        <v>4646</v>
      </c>
      <c r="F23" s="895">
        <v>1468</v>
      </c>
      <c r="G23" s="895">
        <v>41610092.299999997</v>
      </c>
      <c r="H23" s="895">
        <v>6114</v>
      </c>
      <c r="I23" s="926"/>
      <c r="J23" s="895">
        <v>3825</v>
      </c>
      <c r="K23" s="889">
        <v>2089</v>
      </c>
      <c r="L23" s="905">
        <v>200</v>
      </c>
    </row>
    <row r="24" spans="1:12" ht="13.15" customHeight="1">
      <c r="A24" s="887" t="s">
        <v>574</v>
      </c>
      <c r="B24" s="889">
        <v>19173</v>
      </c>
      <c r="C24" s="895">
        <v>17603149.919999998</v>
      </c>
      <c r="D24" s="895"/>
      <c r="E24" s="925">
        <v>7112</v>
      </c>
      <c r="F24" s="895">
        <v>929</v>
      </c>
      <c r="G24" s="895">
        <v>47034440.699999996</v>
      </c>
      <c r="H24" s="895">
        <v>8041</v>
      </c>
      <c r="I24" s="926"/>
      <c r="J24" s="895">
        <v>3666</v>
      </c>
      <c r="K24" s="889">
        <v>4239</v>
      </c>
      <c r="L24" s="905">
        <v>136</v>
      </c>
    </row>
    <row r="25" spans="1:12" ht="13.15" customHeight="1">
      <c r="A25" s="887" t="s">
        <v>578</v>
      </c>
      <c r="B25" s="889">
        <v>13289</v>
      </c>
      <c r="C25" s="895">
        <v>12172154.470000001</v>
      </c>
      <c r="D25" s="895"/>
      <c r="E25" s="925">
        <v>4280</v>
      </c>
      <c r="F25" s="895">
        <v>1441</v>
      </c>
      <c r="G25" s="895">
        <v>39208318.899999999</v>
      </c>
      <c r="H25" s="895">
        <v>5721</v>
      </c>
      <c r="I25" s="926"/>
      <c r="J25" s="895">
        <v>3262</v>
      </c>
      <c r="K25" s="889">
        <v>2282</v>
      </c>
      <c r="L25" s="905">
        <v>177</v>
      </c>
    </row>
    <row r="26" spans="1:12" ht="10.7" customHeight="1">
      <c r="A26" s="887"/>
      <c r="B26" s="889"/>
      <c r="C26" s="895"/>
      <c r="D26" s="895"/>
      <c r="E26" s="925"/>
      <c r="F26" s="895"/>
      <c r="G26" s="895"/>
      <c r="H26" s="895"/>
      <c r="I26" s="926"/>
      <c r="J26" s="895"/>
      <c r="K26" s="889"/>
      <c r="L26" s="905"/>
    </row>
    <row r="27" spans="1:12" ht="13.15" customHeight="1">
      <c r="A27" s="887" t="s">
        <v>582</v>
      </c>
      <c r="B27" s="889">
        <v>52288</v>
      </c>
      <c r="C27" s="895">
        <v>47775197.759999998</v>
      </c>
      <c r="D27" s="895"/>
      <c r="E27" s="925">
        <v>16445</v>
      </c>
      <c r="F27" s="895">
        <v>6031</v>
      </c>
      <c r="G27" s="895">
        <v>155982039.94999999</v>
      </c>
      <c r="H27" s="895">
        <v>22476</v>
      </c>
      <c r="I27" s="926"/>
      <c r="J27" s="895">
        <v>11772</v>
      </c>
      <c r="K27" s="889">
        <v>10175</v>
      </c>
      <c r="L27" s="905">
        <v>529</v>
      </c>
    </row>
    <row r="28" spans="1:12" ht="13.15" customHeight="1">
      <c r="A28" s="887" t="s">
        <v>584</v>
      </c>
      <c r="B28" s="889">
        <v>27600</v>
      </c>
      <c r="C28" s="895">
        <v>25226564.620000008</v>
      </c>
      <c r="D28" s="895"/>
      <c r="E28" s="925">
        <v>7174</v>
      </c>
      <c r="F28" s="895">
        <v>4890</v>
      </c>
      <c r="G28" s="895">
        <v>111282285.59999999</v>
      </c>
      <c r="H28" s="895">
        <v>12064</v>
      </c>
      <c r="I28" s="926"/>
      <c r="J28" s="895">
        <v>6739</v>
      </c>
      <c r="K28" s="889">
        <v>4939</v>
      </c>
      <c r="L28" s="905">
        <v>386</v>
      </c>
    </row>
    <row r="29" spans="1:12" ht="13.15" customHeight="1">
      <c r="A29" s="887" t="s">
        <v>587</v>
      </c>
      <c r="B29" s="889">
        <v>27295</v>
      </c>
      <c r="C29" s="895">
        <v>24937151.720000003</v>
      </c>
      <c r="D29" s="895"/>
      <c r="E29" s="925">
        <v>9603</v>
      </c>
      <c r="F29" s="895">
        <v>2042</v>
      </c>
      <c r="G29" s="895">
        <v>72730886.599999994</v>
      </c>
      <c r="H29" s="895">
        <v>11645</v>
      </c>
      <c r="I29" s="926"/>
      <c r="J29" s="895">
        <v>5493</v>
      </c>
      <c r="K29" s="889">
        <v>5786</v>
      </c>
      <c r="L29" s="905">
        <v>366</v>
      </c>
    </row>
    <row r="30" spans="1:12" ht="13.15" customHeight="1">
      <c r="A30" s="887" t="s">
        <v>590</v>
      </c>
      <c r="B30" s="889">
        <v>7028</v>
      </c>
      <c r="C30" s="895">
        <v>6432320.8099999996</v>
      </c>
      <c r="D30" s="895"/>
      <c r="E30" s="925">
        <v>2188</v>
      </c>
      <c r="F30" s="895">
        <v>1144</v>
      </c>
      <c r="G30" s="895">
        <v>27935345.300000001</v>
      </c>
      <c r="H30" s="895">
        <v>3332</v>
      </c>
      <c r="I30" s="926"/>
      <c r="J30" s="895">
        <v>1970</v>
      </c>
      <c r="K30" s="889">
        <v>1253</v>
      </c>
      <c r="L30" s="905">
        <v>109</v>
      </c>
    </row>
    <row r="31" spans="1:12" ht="13.15" customHeight="1">
      <c r="A31" s="887" t="s">
        <v>593</v>
      </c>
      <c r="B31" s="889">
        <v>12332</v>
      </c>
      <c r="C31" s="895">
        <v>11262214.829999998</v>
      </c>
      <c r="D31" s="895"/>
      <c r="E31" s="925">
        <v>4097</v>
      </c>
      <c r="F31" s="895">
        <v>1039</v>
      </c>
      <c r="G31" s="895">
        <v>43651178.109999999</v>
      </c>
      <c r="H31" s="895">
        <v>5136</v>
      </c>
      <c r="I31" s="926"/>
      <c r="J31" s="895">
        <v>2752</v>
      </c>
      <c r="K31" s="889">
        <v>2225</v>
      </c>
      <c r="L31" s="905">
        <v>159</v>
      </c>
    </row>
    <row r="32" spans="1:12" ht="10.7" customHeight="1">
      <c r="A32" s="887"/>
      <c r="B32" s="889"/>
      <c r="C32" s="895"/>
      <c r="D32" s="895"/>
      <c r="E32" s="925"/>
      <c r="F32" s="895"/>
      <c r="G32" s="895"/>
      <c r="H32" s="895"/>
      <c r="I32" s="926"/>
      <c r="J32" s="895"/>
      <c r="K32" s="889"/>
      <c r="L32" s="905"/>
    </row>
    <row r="33" spans="1:13" ht="13.15" customHeight="1">
      <c r="A33" s="887" t="s">
        <v>595</v>
      </c>
      <c r="B33" s="889">
        <v>328157</v>
      </c>
      <c r="C33" s="895">
        <v>299744113.71000004</v>
      </c>
      <c r="D33" s="895"/>
      <c r="E33" s="925">
        <v>69499</v>
      </c>
      <c r="F33" s="895">
        <v>67926</v>
      </c>
      <c r="G33" s="895">
        <v>1491945899.1200001</v>
      </c>
      <c r="H33" s="895">
        <v>137425</v>
      </c>
      <c r="I33" s="926"/>
      <c r="J33" s="895">
        <v>72425</v>
      </c>
      <c r="K33" s="889">
        <v>61328</v>
      </c>
      <c r="L33" s="905">
        <v>3672</v>
      </c>
    </row>
    <row r="34" spans="1:13" ht="13.15" customHeight="1">
      <c r="A34" s="887" t="s">
        <v>598</v>
      </c>
      <c r="B34" s="889">
        <v>15010</v>
      </c>
      <c r="C34" s="895">
        <v>13651516.079999998</v>
      </c>
      <c r="D34" s="895"/>
      <c r="E34" s="925">
        <v>3386</v>
      </c>
      <c r="F34" s="895">
        <v>2969</v>
      </c>
      <c r="G34" s="895">
        <v>78145743.700000003</v>
      </c>
      <c r="H34" s="895">
        <v>6355</v>
      </c>
      <c r="I34" s="926"/>
      <c r="J34" s="895">
        <v>3165</v>
      </c>
      <c r="K34" s="889">
        <v>3030</v>
      </c>
      <c r="L34" s="905">
        <v>160</v>
      </c>
    </row>
    <row r="35" spans="1:13" ht="13.15" customHeight="1">
      <c r="A35" s="887" t="s">
        <v>600</v>
      </c>
      <c r="B35" s="889">
        <v>4859</v>
      </c>
      <c r="C35" s="895">
        <v>4441275.78</v>
      </c>
      <c r="D35" s="895"/>
      <c r="E35" s="925">
        <v>1514</v>
      </c>
      <c r="F35" s="895">
        <v>541</v>
      </c>
      <c r="G35" s="895">
        <v>15855289.300000001</v>
      </c>
      <c r="H35" s="895">
        <v>2055</v>
      </c>
      <c r="I35" s="926"/>
      <c r="J35" s="895">
        <v>972</v>
      </c>
      <c r="K35" s="889">
        <v>1056</v>
      </c>
      <c r="L35" s="905">
        <v>27</v>
      </c>
    </row>
    <row r="36" spans="1:13" ht="13.15" customHeight="1">
      <c r="A36" s="887" t="s">
        <v>603</v>
      </c>
      <c r="B36" s="889">
        <v>47640</v>
      </c>
      <c r="C36" s="895">
        <v>43541854.009999998</v>
      </c>
      <c r="D36" s="895"/>
      <c r="E36" s="925">
        <v>11028</v>
      </c>
      <c r="F36" s="895">
        <v>8215</v>
      </c>
      <c r="G36" s="895">
        <v>206443609.5</v>
      </c>
      <c r="H36" s="895">
        <v>19243</v>
      </c>
      <c r="I36" s="926"/>
      <c r="J36" s="895">
        <v>9917</v>
      </c>
      <c r="K36" s="889">
        <v>8801</v>
      </c>
      <c r="L36" s="905">
        <v>525</v>
      </c>
    </row>
    <row r="37" spans="1:13" ht="13.15" customHeight="1">
      <c r="A37" s="887" t="s">
        <v>606</v>
      </c>
      <c r="B37" s="889">
        <v>8752</v>
      </c>
      <c r="C37" s="895">
        <v>8011962.71</v>
      </c>
      <c r="D37" s="895"/>
      <c r="E37" s="925">
        <v>2605</v>
      </c>
      <c r="F37" s="895">
        <v>1068</v>
      </c>
      <c r="G37" s="895">
        <v>26788517.039999999</v>
      </c>
      <c r="H37" s="895">
        <v>3673</v>
      </c>
      <c r="I37" s="926"/>
      <c r="J37" s="895">
        <v>1990</v>
      </c>
      <c r="K37" s="889">
        <v>1562</v>
      </c>
      <c r="L37" s="905">
        <v>121</v>
      </c>
    </row>
    <row r="38" spans="1:13" ht="10.7" customHeight="1">
      <c r="A38" s="887"/>
      <c r="B38" s="889"/>
      <c r="C38" s="895"/>
      <c r="D38" s="895"/>
      <c r="E38" s="925"/>
      <c r="F38" s="895"/>
      <c r="G38" s="895"/>
      <c r="H38" s="895"/>
      <c r="I38" s="926"/>
      <c r="J38" s="895"/>
      <c r="K38" s="889"/>
      <c r="L38" s="905"/>
    </row>
    <row r="39" spans="1:13" ht="13.15" customHeight="1">
      <c r="A39" s="887" t="s">
        <v>609</v>
      </c>
      <c r="B39" s="889">
        <v>12352</v>
      </c>
      <c r="C39" s="895">
        <v>11341834.849999998</v>
      </c>
      <c r="D39" s="895"/>
      <c r="E39" s="925">
        <v>4627</v>
      </c>
      <c r="F39" s="895">
        <v>516</v>
      </c>
      <c r="G39" s="895">
        <v>27294887.399999999</v>
      </c>
      <c r="H39" s="895">
        <v>5143</v>
      </c>
      <c r="I39" s="926"/>
      <c r="J39" s="895">
        <v>2308</v>
      </c>
      <c r="K39" s="889">
        <v>2742</v>
      </c>
      <c r="L39" s="905">
        <v>93</v>
      </c>
    </row>
    <row r="40" spans="1:13" ht="13.15" customHeight="1">
      <c r="A40" s="887" t="s">
        <v>612</v>
      </c>
      <c r="B40" s="889">
        <v>25665</v>
      </c>
      <c r="C40" s="895">
        <v>23499700.369999997</v>
      </c>
      <c r="D40" s="895"/>
      <c r="E40" s="925">
        <v>7037</v>
      </c>
      <c r="F40" s="895">
        <v>4089</v>
      </c>
      <c r="G40" s="895">
        <v>89133646.5</v>
      </c>
      <c r="H40" s="895">
        <v>11126</v>
      </c>
      <c r="I40" s="926"/>
      <c r="J40" s="895">
        <v>6241</v>
      </c>
      <c r="K40" s="889">
        <v>4555</v>
      </c>
      <c r="L40" s="905">
        <v>330</v>
      </c>
    </row>
    <row r="41" spans="1:13" ht="13.15" customHeight="1">
      <c r="A41" s="887" t="s">
        <v>615</v>
      </c>
      <c r="B41" s="889">
        <v>11331</v>
      </c>
      <c r="C41" s="895">
        <v>10340759.509999998</v>
      </c>
      <c r="D41" s="895"/>
      <c r="E41" s="925">
        <v>3377</v>
      </c>
      <c r="F41" s="895">
        <v>1538</v>
      </c>
      <c r="G41" s="895">
        <v>41289839.399999999</v>
      </c>
      <c r="H41" s="895">
        <v>4915</v>
      </c>
      <c r="I41" s="926"/>
      <c r="J41" s="895">
        <v>2940</v>
      </c>
      <c r="K41" s="889">
        <v>1837</v>
      </c>
      <c r="L41" s="905">
        <v>138</v>
      </c>
    </row>
    <row r="42" spans="1:13" ht="13.15" customHeight="1">
      <c r="A42" s="881" t="s">
        <v>618</v>
      </c>
      <c r="B42" s="889">
        <v>1136148</v>
      </c>
      <c r="C42" s="895">
        <v>1032982317.4099998</v>
      </c>
      <c r="D42" s="895"/>
      <c r="E42" s="925">
        <v>226185</v>
      </c>
      <c r="F42" s="895">
        <v>274712</v>
      </c>
      <c r="G42" s="895">
        <v>8759869453.4700012</v>
      </c>
      <c r="H42" s="895">
        <v>500897</v>
      </c>
      <c r="I42" s="926"/>
      <c r="J42" s="895">
        <v>268956</v>
      </c>
      <c r="K42" s="889">
        <v>214668</v>
      </c>
      <c r="L42" s="905">
        <v>17273</v>
      </c>
    </row>
    <row r="43" spans="1:13" ht="13.15" customHeight="1">
      <c r="A43" s="881" t="s">
        <v>621</v>
      </c>
      <c r="B43" s="895">
        <v>70482</v>
      </c>
      <c r="C43" s="895">
        <v>64250673.820000008</v>
      </c>
      <c r="D43" s="895"/>
      <c r="E43" s="925">
        <v>14384</v>
      </c>
      <c r="F43" s="895">
        <v>15114</v>
      </c>
      <c r="G43" s="895">
        <v>499745133.00999999</v>
      </c>
      <c r="H43" s="895">
        <v>29498</v>
      </c>
      <c r="I43" s="926"/>
      <c r="J43" s="895">
        <v>14610</v>
      </c>
      <c r="K43" s="895">
        <v>14017</v>
      </c>
      <c r="L43" s="906">
        <v>871</v>
      </c>
      <c r="M43" s="431"/>
    </row>
    <row r="44" spans="1:13" ht="18">
      <c r="A44" s="407" t="s">
        <v>835</v>
      </c>
      <c r="B44" s="906"/>
      <c r="C44" s="906"/>
      <c r="D44" s="906"/>
      <c r="E44" s="906"/>
      <c r="F44" s="906"/>
      <c r="G44" s="906"/>
      <c r="H44" s="906"/>
      <c r="I44" s="906"/>
      <c r="J44" s="906"/>
      <c r="K44" s="906"/>
      <c r="L44" s="906"/>
      <c r="M44" s="431"/>
    </row>
    <row r="45" spans="1:13" ht="15.75">
      <c r="A45" s="434" t="s">
        <v>831</v>
      </c>
      <c r="B45" s="906"/>
      <c r="C45" s="906"/>
      <c r="D45" s="906"/>
      <c r="E45" s="906"/>
      <c r="F45" s="906"/>
      <c r="G45" s="906"/>
      <c r="H45" s="906"/>
      <c r="I45" s="906"/>
      <c r="J45" s="906"/>
      <c r="K45" s="906"/>
      <c r="L45" s="906"/>
    </row>
    <row r="46" spans="1:13" ht="15.75">
      <c r="A46" s="430" t="str">
        <f>A3</f>
        <v>Taxable Year 2010</v>
      </c>
      <c r="B46" s="906"/>
      <c r="C46" s="906"/>
      <c r="D46" s="906"/>
      <c r="E46" s="906"/>
      <c r="F46" s="906"/>
      <c r="G46" s="906"/>
      <c r="H46" s="906"/>
      <c r="I46" s="906"/>
      <c r="J46" s="906"/>
      <c r="K46" s="906"/>
      <c r="L46" s="906"/>
    </row>
    <row r="47" spans="1:13" ht="13.15" customHeight="1" thickBot="1">
      <c r="A47" s="431"/>
      <c r="B47" s="435">
        <f>SUM(B9:B43)</f>
        <v>2444768</v>
      </c>
      <c r="C47" s="435">
        <f t="shared" ref="C47:L47" si="0">SUM(C9:C43)</f>
        <v>2223575311.3099999</v>
      </c>
      <c r="D47" s="435">
        <f t="shared" si="0"/>
        <v>0</v>
      </c>
      <c r="E47" s="435">
        <f t="shared" si="0"/>
        <v>572074</v>
      </c>
      <c r="F47" s="435">
        <f t="shared" si="0"/>
        <v>510903</v>
      </c>
      <c r="G47" s="435">
        <f t="shared" si="0"/>
        <v>15239444938.559999</v>
      </c>
      <c r="H47" s="435">
        <f t="shared" si="0"/>
        <v>1082977</v>
      </c>
      <c r="I47" s="435">
        <f t="shared" si="0"/>
        <v>0</v>
      </c>
      <c r="J47" s="435">
        <f t="shared" si="0"/>
        <v>589734</v>
      </c>
      <c r="K47" s="435">
        <f t="shared" si="0"/>
        <v>459592</v>
      </c>
      <c r="L47" s="435">
        <f t="shared" si="0"/>
        <v>33651</v>
      </c>
    </row>
    <row r="48" spans="1:13">
      <c r="A48" s="907"/>
      <c r="B48" s="1028" t="s">
        <v>505</v>
      </c>
      <c r="C48" s="1028"/>
      <c r="D48" s="927"/>
      <c r="E48" s="1029" t="s">
        <v>506</v>
      </c>
      <c r="F48" s="1030"/>
      <c r="G48" s="1030"/>
      <c r="H48" s="1030"/>
      <c r="I48" s="909"/>
      <c r="J48" s="910"/>
      <c r="K48" s="911" t="s">
        <v>832</v>
      </c>
      <c r="L48" s="912"/>
      <c r="M48" s="431"/>
    </row>
    <row r="49" spans="1:12" ht="13.15" customHeight="1">
      <c r="A49" s="928"/>
      <c r="B49" s="929"/>
      <c r="C49" s="929"/>
      <c r="D49" s="929"/>
      <c r="E49" s="930"/>
      <c r="F49" s="929"/>
      <c r="G49" s="929"/>
      <c r="H49" s="931" t="s">
        <v>25</v>
      </c>
      <c r="I49" s="932"/>
      <c r="J49" s="931"/>
      <c r="K49" s="931" t="s">
        <v>492</v>
      </c>
      <c r="L49" s="928" t="s">
        <v>492</v>
      </c>
    </row>
    <row r="50" spans="1:12" ht="13.15" customHeight="1">
      <c r="A50" s="880" t="s">
        <v>33</v>
      </c>
      <c r="B50" s="919" t="s">
        <v>833</v>
      </c>
      <c r="C50" s="919" t="s">
        <v>30</v>
      </c>
      <c r="D50" s="919"/>
      <c r="E50" s="920" t="s">
        <v>502</v>
      </c>
      <c r="F50" s="919" t="s">
        <v>501</v>
      </c>
      <c r="G50" s="880" t="s">
        <v>30</v>
      </c>
      <c r="H50" s="919" t="s">
        <v>497</v>
      </c>
      <c r="I50" s="921"/>
      <c r="J50" s="919" t="s">
        <v>834</v>
      </c>
      <c r="K50" s="919" t="s">
        <v>494</v>
      </c>
      <c r="L50" s="880" t="s">
        <v>495</v>
      </c>
    </row>
    <row r="51" spans="1:12" ht="10.7" customHeight="1">
      <c r="A51" s="881"/>
      <c r="B51" s="906"/>
      <c r="C51" s="906"/>
      <c r="D51" s="906"/>
      <c r="E51" s="922"/>
      <c r="F51" s="906"/>
      <c r="G51" s="906"/>
      <c r="H51" s="906"/>
      <c r="I51" s="923"/>
      <c r="J51" s="906"/>
      <c r="K51" s="906"/>
      <c r="L51" s="905"/>
    </row>
    <row r="52" spans="1:12" ht="13.15" customHeight="1">
      <c r="A52" s="887" t="s">
        <v>624</v>
      </c>
      <c r="B52" s="889">
        <v>14613</v>
      </c>
      <c r="C52" s="924">
        <v>13343365.029999997</v>
      </c>
      <c r="D52" s="924"/>
      <c r="E52" s="925">
        <v>4584</v>
      </c>
      <c r="F52" s="895">
        <v>1478</v>
      </c>
      <c r="G52" s="924">
        <v>42241851.100000001</v>
      </c>
      <c r="H52" s="895">
        <v>6062</v>
      </c>
      <c r="I52" s="926"/>
      <c r="J52" s="895">
        <v>2741</v>
      </c>
      <c r="K52" s="889">
        <v>3189</v>
      </c>
      <c r="L52" s="905">
        <v>132</v>
      </c>
    </row>
    <row r="53" spans="1:12" ht="13.15" customHeight="1">
      <c r="A53" s="887" t="s">
        <v>626</v>
      </c>
      <c r="B53" s="889">
        <v>25399</v>
      </c>
      <c r="C53" s="895">
        <v>23059489.610000003</v>
      </c>
      <c r="D53" s="895"/>
      <c r="E53" s="925">
        <v>5665</v>
      </c>
      <c r="F53" s="895">
        <v>4641</v>
      </c>
      <c r="G53" s="895">
        <v>98961263.629999995</v>
      </c>
      <c r="H53" s="895">
        <v>10306</v>
      </c>
      <c r="I53" s="926"/>
      <c r="J53" s="895">
        <v>4768</v>
      </c>
      <c r="K53" s="889">
        <v>5259</v>
      </c>
      <c r="L53" s="905">
        <v>279</v>
      </c>
    </row>
    <row r="54" spans="1:12" ht="13.15" customHeight="1">
      <c r="A54" s="887" t="s">
        <v>629</v>
      </c>
      <c r="B54" s="889">
        <v>52302</v>
      </c>
      <c r="C54" s="895">
        <v>47649117.520000003</v>
      </c>
      <c r="D54" s="895"/>
      <c r="E54" s="925">
        <v>15770</v>
      </c>
      <c r="F54" s="895">
        <v>6312</v>
      </c>
      <c r="G54" s="895">
        <v>175131666.79999998</v>
      </c>
      <c r="H54" s="895">
        <v>22082</v>
      </c>
      <c r="I54" s="926"/>
      <c r="J54" s="895">
        <v>10657</v>
      </c>
      <c r="K54" s="889">
        <v>10936</v>
      </c>
      <c r="L54" s="905">
        <v>489</v>
      </c>
    </row>
    <row r="55" spans="1:12" ht="13.15" customHeight="1">
      <c r="A55" s="887" t="s">
        <v>631</v>
      </c>
      <c r="B55" s="889">
        <v>81851</v>
      </c>
      <c r="C55" s="895">
        <v>74587933.039999992</v>
      </c>
      <c r="D55" s="895"/>
      <c r="E55" s="925">
        <v>20125</v>
      </c>
      <c r="F55" s="895">
        <v>14267</v>
      </c>
      <c r="G55" s="895">
        <v>349245519.42000002</v>
      </c>
      <c r="H55" s="895">
        <v>34392</v>
      </c>
      <c r="I55" s="926"/>
      <c r="J55" s="895">
        <v>17362</v>
      </c>
      <c r="K55" s="889">
        <v>16256</v>
      </c>
      <c r="L55" s="905">
        <v>774</v>
      </c>
    </row>
    <row r="56" spans="1:12" ht="13.15" customHeight="1">
      <c r="A56" s="887" t="s">
        <v>634</v>
      </c>
      <c r="B56" s="889">
        <v>16408</v>
      </c>
      <c r="C56" s="895">
        <v>14960715.119999999</v>
      </c>
      <c r="D56" s="895"/>
      <c r="E56" s="925">
        <v>5581</v>
      </c>
      <c r="F56" s="895">
        <v>1457</v>
      </c>
      <c r="G56" s="895">
        <v>44226660.209999993</v>
      </c>
      <c r="H56" s="895">
        <v>7038</v>
      </c>
      <c r="I56" s="926"/>
      <c r="J56" s="895">
        <v>3511</v>
      </c>
      <c r="K56" s="889">
        <v>3384</v>
      </c>
      <c r="L56" s="905">
        <v>143</v>
      </c>
    </row>
    <row r="57" spans="1:12" ht="10.7" customHeight="1">
      <c r="A57" s="887"/>
      <c r="B57" s="889"/>
      <c r="C57" s="895"/>
      <c r="D57" s="895"/>
      <c r="E57" s="925"/>
      <c r="F57" s="895"/>
      <c r="G57" s="895"/>
      <c r="H57" s="895"/>
      <c r="I57" s="926"/>
      <c r="J57" s="895"/>
      <c r="K57" s="889"/>
      <c r="L57" s="905"/>
    </row>
    <row r="58" spans="1:12" ht="13.15" customHeight="1">
      <c r="A58" s="887" t="s">
        <v>637</v>
      </c>
      <c r="B58" s="889">
        <v>37282</v>
      </c>
      <c r="C58" s="895">
        <v>33980622.530000001</v>
      </c>
      <c r="D58" s="895"/>
      <c r="E58" s="925">
        <v>9836</v>
      </c>
      <c r="F58" s="895">
        <v>6385</v>
      </c>
      <c r="G58" s="895">
        <v>153724565.60999998</v>
      </c>
      <c r="H58" s="895">
        <v>16221</v>
      </c>
      <c r="I58" s="926"/>
      <c r="J58" s="895">
        <v>7996</v>
      </c>
      <c r="K58" s="889">
        <v>7712</v>
      </c>
      <c r="L58" s="905">
        <v>513</v>
      </c>
    </row>
    <row r="59" spans="1:12" ht="13.15" customHeight="1">
      <c r="A59" s="887" t="s">
        <v>639</v>
      </c>
      <c r="B59" s="889">
        <v>22635</v>
      </c>
      <c r="C59" s="895">
        <v>20632211.549999993</v>
      </c>
      <c r="D59" s="895"/>
      <c r="E59" s="925">
        <v>4486</v>
      </c>
      <c r="F59" s="895">
        <v>4952</v>
      </c>
      <c r="G59" s="895">
        <v>159647651.19999999</v>
      </c>
      <c r="H59" s="895">
        <v>9438</v>
      </c>
      <c r="I59" s="926"/>
      <c r="J59" s="895">
        <v>4121</v>
      </c>
      <c r="K59" s="889">
        <v>5038</v>
      </c>
      <c r="L59" s="905">
        <v>279</v>
      </c>
    </row>
    <row r="60" spans="1:12" ht="13.15" customHeight="1">
      <c r="A60" s="887" t="s">
        <v>641</v>
      </c>
      <c r="B60" s="889">
        <v>14874</v>
      </c>
      <c r="C60" s="895">
        <v>13583215.289999999</v>
      </c>
      <c r="D60" s="895"/>
      <c r="E60" s="925">
        <v>5255</v>
      </c>
      <c r="F60" s="895">
        <v>1139</v>
      </c>
      <c r="G60" s="895">
        <v>47739483.400000006</v>
      </c>
      <c r="H60" s="895">
        <v>6394</v>
      </c>
      <c r="I60" s="926"/>
      <c r="J60" s="895">
        <v>2987</v>
      </c>
      <c r="K60" s="889">
        <v>3182</v>
      </c>
      <c r="L60" s="905">
        <v>225</v>
      </c>
    </row>
    <row r="61" spans="1:12" ht="13.15" customHeight="1">
      <c r="A61" s="887" t="s">
        <v>644</v>
      </c>
      <c r="B61" s="889">
        <v>18059</v>
      </c>
      <c r="C61" s="895">
        <v>16498473.07</v>
      </c>
      <c r="D61" s="895"/>
      <c r="E61" s="925">
        <v>4602</v>
      </c>
      <c r="F61" s="895">
        <v>2955</v>
      </c>
      <c r="G61" s="895">
        <v>67156575.600000009</v>
      </c>
      <c r="H61" s="895">
        <v>7557</v>
      </c>
      <c r="I61" s="926"/>
      <c r="J61" s="895">
        <v>3741</v>
      </c>
      <c r="K61" s="889">
        <v>3624</v>
      </c>
      <c r="L61" s="905">
        <v>192</v>
      </c>
    </row>
    <row r="62" spans="1:12" ht="13.15" customHeight="1">
      <c r="A62" s="887" t="s">
        <v>647</v>
      </c>
      <c r="B62" s="889">
        <v>11232</v>
      </c>
      <c r="C62" s="895">
        <v>10304357.470000001</v>
      </c>
      <c r="D62" s="895"/>
      <c r="E62" s="925">
        <v>3596</v>
      </c>
      <c r="F62" s="895">
        <v>1329</v>
      </c>
      <c r="G62" s="895">
        <v>41800663</v>
      </c>
      <c r="H62" s="895">
        <v>4925</v>
      </c>
      <c r="I62" s="926"/>
      <c r="J62" s="895">
        <v>3122</v>
      </c>
      <c r="K62" s="889">
        <v>1501</v>
      </c>
      <c r="L62" s="905">
        <v>302</v>
      </c>
    </row>
    <row r="63" spans="1:12" ht="10.7" customHeight="1">
      <c r="A63" s="887"/>
      <c r="B63" s="889"/>
      <c r="C63" s="895"/>
      <c r="D63" s="895"/>
      <c r="E63" s="925"/>
      <c r="F63" s="895"/>
      <c r="G63" s="895"/>
      <c r="H63" s="895"/>
      <c r="I63" s="926"/>
      <c r="J63" s="895"/>
      <c r="K63" s="889"/>
      <c r="L63" s="905"/>
    </row>
    <row r="64" spans="1:12" ht="13.15" customHeight="1">
      <c r="A64" s="887" t="s">
        <v>523</v>
      </c>
      <c r="B64" s="889">
        <v>33480</v>
      </c>
      <c r="C64" s="895">
        <v>30582764.680000007</v>
      </c>
      <c r="D64" s="895"/>
      <c r="E64" s="925">
        <v>11081</v>
      </c>
      <c r="F64" s="895">
        <v>3079</v>
      </c>
      <c r="G64" s="895">
        <v>90516301.810000002</v>
      </c>
      <c r="H64" s="895">
        <v>14160</v>
      </c>
      <c r="I64" s="926"/>
      <c r="J64" s="895">
        <v>7910</v>
      </c>
      <c r="K64" s="889">
        <v>5763</v>
      </c>
      <c r="L64" s="905">
        <v>487</v>
      </c>
    </row>
    <row r="65" spans="1:12" ht="13.15" customHeight="1">
      <c r="A65" s="887" t="s">
        <v>527</v>
      </c>
      <c r="B65" s="889">
        <v>106442</v>
      </c>
      <c r="C65" s="895">
        <v>97304804.110000014</v>
      </c>
      <c r="D65" s="895"/>
      <c r="E65" s="925">
        <v>22385</v>
      </c>
      <c r="F65" s="895">
        <v>21745</v>
      </c>
      <c r="G65" s="895">
        <v>482930010.42000002</v>
      </c>
      <c r="H65" s="895">
        <v>44130</v>
      </c>
      <c r="I65" s="926"/>
      <c r="J65" s="895">
        <v>21292</v>
      </c>
      <c r="K65" s="889">
        <v>21890</v>
      </c>
      <c r="L65" s="905">
        <v>948</v>
      </c>
    </row>
    <row r="66" spans="1:12" ht="13.15" customHeight="1">
      <c r="A66" s="887" t="s">
        <v>531</v>
      </c>
      <c r="B66" s="889">
        <v>307645</v>
      </c>
      <c r="C66" s="895">
        <v>280386359.06999999</v>
      </c>
      <c r="D66" s="895"/>
      <c r="E66" s="925">
        <v>76047</v>
      </c>
      <c r="F66" s="895">
        <v>61022</v>
      </c>
      <c r="G66" s="895">
        <v>1404731408.8799999</v>
      </c>
      <c r="H66" s="895">
        <v>137069</v>
      </c>
      <c r="I66" s="926"/>
      <c r="J66" s="895">
        <v>82041</v>
      </c>
      <c r="K66" s="889">
        <v>51438</v>
      </c>
      <c r="L66" s="905">
        <v>3590</v>
      </c>
    </row>
    <row r="67" spans="1:12" ht="13.15" customHeight="1">
      <c r="A67" s="887" t="s">
        <v>535</v>
      </c>
      <c r="B67" s="889">
        <v>53312</v>
      </c>
      <c r="C67" s="895">
        <v>48720953.289999999</v>
      </c>
      <c r="D67" s="895"/>
      <c r="E67" s="925">
        <v>18497</v>
      </c>
      <c r="F67" s="895">
        <v>4174</v>
      </c>
      <c r="G67" s="895">
        <v>138764307.81</v>
      </c>
      <c r="H67" s="895">
        <v>22671</v>
      </c>
      <c r="I67" s="926"/>
      <c r="J67" s="895">
        <v>12467</v>
      </c>
      <c r="K67" s="889">
        <v>9522</v>
      </c>
      <c r="L67" s="905">
        <v>682</v>
      </c>
    </row>
    <row r="68" spans="1:12" ht="13.15" customHeight="1">
      <c r="A68" s="887" t="s">
        <v>539</v>
      </c>
      <c r="B68" s="889">
        <v>2363</v>
      </c>
      <c r="C68" s="895">
        <v>2143338.69</v>
      </c>
      <c r="D68" s="895"/>
      <c r="E68" s="925">
        <v>803</v>
      </c>
      <c r="F68" s="895">
        <v>214</v>
      </c>
      <c r="G68" s="895">
        <v>7761344.7000000002</v>
      </c>
      <c r="H68" s="895">
        <v>1017</v>
      </c>
      <c r="I68" s="926"/>
      <c r="J68" s="895">
        <v>478</v>
      </c>
      <c r="K68" s="889">
        <v>513</v>
      </c>
      <c r="L68" s="933">
        <v>26</v>
      </c>
    </row>
    <row r="69" spans="1:12" ht="10.7" customHeight="1">
      <c r="A69" s="887"/>
      <c r="B69" s="889"/>
      <c r="C69" s="895"/>
      <c r="D69" s="895"/>
      <c r="E69" s="925"/>
      <c r="F69" s="895"/>
      <c r="G69" s="895"/>
      <c r="H69" s="895"/>
      <c r="I69" s="926"/>
      <c r="J69" s="895"/>
      <c r="K69" s="889"/>
      <c r="L69" s="933"/>
    </row>
    <row r="70" spans="1:12" ht="13.15" customHeight="1">
      <c r="A70" s="887" t="s">
        <v>543</v>
      </c>
      <c r="B70" s="889">
        <v>36657</v>
      </c>
      <c r="C70" s="895">
        <v>33446171.990000002</v>
      </c>
      <c r="D70" s="895"/>
      <c r="E70" s="925">
        <v>8762</v>
      </c>
      <c r="F70" s="895">
        <v>6805</v>
      </c>
      <c r="G70" s="895">
        <v>159332591.81</v>
      </c>
      <c r="H70" s="895">
        <v>15567</v>
      </c>
      <c r="I70" s="926"/>
      <c r="J70" s="895">
        <v>7634</v>
      </c>
      <c r="K70" s="889">
        <v>7361</v>
      </c>
      <c r="L70" s="905">
        <v>572</v>
      </c>
    </row>
    <row r="71" spans="1:12" ht="13.15" customHeight="1">
      <c r="A71" s="887" t="s">
        <v>547</v>
      </c>
      <c r="B71" s="889">
        <v>74090</v>
      </c>
      <c r="C71" s="895">
        <v>66666783.420000017</v>
      </c>
      <c r="D71" s="895"/>
      <c r="E71" s="925">
        <v>15118</v>
      </c>
      <c r="F71" s="895">
        <v>15172</v>
      </c>
      <c r="G71" s="895">
        <v>390038808.42999995</v>
      </c>
      <c r="H71" s="895">
        <v>30290</v>
      </c>
      <c r="I71" s="926"/>
      <c r="J71" s="895">
        <v>14611</v>
      </c>
      <c r="K71" s="889">
        <v>14820</v>
      </c>
      <c r="L71" s="905">
        <v>859</v>
      </c>
    </row>
    <row r="72" spans="1:12" ht="13.15" customHeight="1">
      <c r="A72" s="887" t="s">
        <v>551</v>
      </c>
      <c r="B72" s="889">
        <v>6848</v>
      </c>
      <c r="C72" s="895">
        <v>6256746.9900000002</v>
      </c>
      <c r="D72" s="895"/>
      <c r="E72" s="925">
        <v>2042</v>
      </c>
      <c r="F72" s="895">
        <v>954</v>
      </c>
      <c r="G72" s="895">
        <v>23971674.199999999</v>
      </c>
      <c r="H72" s="895">
        <v>2996</v>
      </c>
      <c r="I72" s="926"/>
      <c r="J72" s="895">
        <v>1650</v>
      </c>
      <c r="K72" s="889">
        <v>1260</v>
      </c>
      <c r="L72" s="905">
        <v>86</v>
      </c>
    </row>
    <row r="73" spans="1:12" ht="13.15" customHeight="1">
      <c r="A73" s="887" t="s">
        <v>555</v>
      </c>
      <c r="B73" s="889">
        <v>23334</v>
      </c>
      <c r="C73" s="895">
        <v>21263860.869999994</v>
      </c>
      <c r="D73" s="895"/>
      <c r="E73" s="925">
        <v>4782</v>
      </c>
      <c r="F73" s="895">
        <v>4825</v>
      </c>
      <c r="G73" s="895">
        <v>112465961.19999999</v>
      </c>
      <c r="H73" s="895">
        <v>9607</v>
      </c>
      <c r="I73" s="926"/>
      <c r="J73" s="895">
        <v>4710</v>
      </c>
      <c r="K73" s="889">
        <v>4544</v>
      </c>
      <c r="L73" s="905">
        <v>353</v>
      </c>
    </row>
    <row r="74" spans="1:12" ht="13.15" customHeight="1">
      <c r="A74" s="887" t="s">
        <v>559</v>
      </c>
      <c r="B74" s="889">
        <v>16696</v>
      </c>
      <c r="C74" s="895">
        <v>15312594.819999998</v>
      </c>
      <c r="D74" s="895"/>
      <c r="E74" s="925">
        <v>3929</v>
      </c>
      <c r="F74" s="895">
        <v>3093</v>
      </c>
      <c r="G74" s="895">
        <v>64931228.319999993</v>
      </c>
      <c r="H74" s="895">
        <v>7022</v>
      </c>
      <c r="I74" s="926"/>
      <c r="J74" s="895">
        <v>3466</v>
      </c>
      <c r="K74" s="889">
        <v>3375</v>
      </c>
      <c r="L74" s="905">
        <v>181</v>
      </c>
    </row>
    <row r="75" spans="1:12" ht="10.7" customHeight="1">
      <c r="A75" s="877"/>
      <c r="B75" s="889"/>
      <c r="C75" s="895"/>
      <c r="D75" s="895"/>
      <c r="E75" s="925"/>
      <c r="F75" s="895"/>
      <c r="G75" s="895"/>
      <c r="H75" s="895"/>
      <c r="I75" s="926"/>
      <c r="J75" s="895"/>
      <c r="K75" s="889"/>
      <c r="L75" s="905"/>
    </row>
    <row r="76" spans="1:12" ht="13.15" customHeight="1">
      <c r="A76" s="887" t="s">
        <v>563</v>
      </c>
      <c r="B76" s="889">
        <v>12802</v>
      </c>
      <c r="C76" s="895">
        <v>11527671.040000001</v>
      </c>
      <c r="D76" s="895"/>
      <c r="E76" s="925">
        <v>3292</v>
      </c>
      <c r="F76" s="895">
        <v>2058</v>
      </c>
      <c r="G76" s="961">
        <v>95097281.700000003</v>
      </c>
      <c r="H76" s="895">
        <v>5350</v>
      </c>
      <c r="I76" s="926"/>
      <c r="J76" s="895">
        <v>2934</v>
      </c>
      <c r="K76" s="889">
        <v>2272</v>
      </c>
      <c r="L76" s="905">
        <v>144</v>
      </c>
    </row>
    <row r="77" spans="1:12" ht="13.15" customHeight="1">
      <c r="A77" s="887" t="s">
        <v>567</v>
      </c>
      <c r="B77" s="889">
        <v>19470</v>
      </c>
      <c r="C77" s="895">
        <v>17825138.259999987</v>
      </c>
      <c r="D77" s="895"/>
      <c r="E77" s="925">
        <v>7006</v>
      </c>
      <c r="F77" s="895">
        <v>1138</v>
      </c>
      <c r="G77" s="895">
        <v>48228429.219999999</v>
      </c>
      <c r="H77" s="895">
        <v>8144</v>
      </c>
      <c r="I77" s="926"/>
      <c r="J77" s="895">
        <v>3895</v>
      </c>
      <c r="K77" s="889">
        <v>3978</v>
      </c>
      <c r="L77" s="905">
        <v>271</v>
      </c>
    </row>
    <row r="78" spans="1:12" ht="13.15" customHeight="1">
      <c r="A78" s="887" t="s">
        <v>571</v>
      </c>
      <c r="B78" s="889">
        <v>342207</v>
      </c>
      <c r="C78" s="895">
        <v>312352498.9200002</v>
      </c>
      <c r="D78" s="895"/>
      <c r="E78" s="925">
        <v>54537</v>
      </c>
      <c r="F78" s="895">
        <v>83252</v>
      </c>
      <c r="G78" s="895">
        <v>2466806866.6999998</v>
      </c>
      <c r="H78" s="895">
        <v>137789</v>
      </c>
      <c r="I78" s="926"/>
      <c r="J78" s="895">
        <v>64591</v>
      </c>
      <c r="K78" s="889">
        <v>69039</v>
      </c>
      <c r="L78" s="905">
        <v>4159</v>
      </c>
    </row>
    <row r="79" spans="1:12" ht="13.15" customHeight="1">
      <c r="A79" s="887" t="s">
        <v>575</v>
      </c>
      <c r="B79" s="889">
        <v>31921</v>
      </c>
      <c r="C79" s="895">
        <v>29178404.449999999</v>
      </c>
      <c r="D79" s="895"/>
      <c r="E79" s="925">
        <v>7975</v>
      </c>
      <c r="F79" s="895">
        <v>5655</v>
      </c>
      <c r="G79" s="895">
        <v>126189343.7</v>
      </c>
      <c r="H79" s="895">
        <v>13630</v>
      </c>
      <c r="I79" s="926"/>
      <c r="J79" s="895">
        <v>6727</v>
      </c>
      <c r="K79" s="889">
        <v>6461</v>
      </c>
      <c r="L79" s="905">
        <v>442</v>
      </c>
    </row>
    <row r="80" spans="1:12" ht="13.15" customHeight="1">
      <c r="A80" s="887" t="s">
        <v>579</v>
      </c>
      <c r="B80" s="889">
        <v>10898</v>
      </c>
      <c r="C80" s="895">
        <v>9960714.3800000008</v>
      </c>
      <c r="D80" s="895"/>
      <c r="E80" s="925">
        <v>3673</v>
      </c>
      <c r="F80" s="895">
        <v>925</v>
      </c>
      <c r="G80" s="895">
        <v>31028028.109999999</v>
      </c>
      <c r="H80" s="895">
        <v>4598</v>
      </c>
      <c r="I80" s="926"/>
      <c r="J80" s="895">
        <v>2662</v>
      </c>
      <c r="K80" s="889">
        <v>1822</v>
      </c>
      <c r="L80" s="905">
        <v>114</v>
      </c>
    </row>
    <row r="81" spans="1:13" ht="10.7" customHeight="1">
      <c r="A81" s="887"/>
      <c r="B81" s="889"/>
      <c r="C81" s="895"/>
      <c r="D81" s="895"/>
      <c r="E81" s="925"/>
      <c r="F81" s="895"/>
      <c r="G81" s="895"/>
      <c r="H81" s="895"/>
      <c r="I81" s="926"/>
      <c r="J81" s="895"/>
      <c r="K81" s="889"/>
      <c r="L81" s="905"/>
    </row>
    <row r="82" spans="1:13" ht="13.15" customHeight="1">
      <c r="A82" s="887" t="s">
        <v>583</v>
      </c>
      <c r="B82" s="889">
        <v>12882</v>
      </c>
      <c r="C82" s="895">
        <v>11743922.310000001</v>
      </c>
      <c r="D82" s="895"/>
      <c r="E82" s="925">
        <v>3574</v>
      </c>
      <c r="F82" s="895">
        <v>1771</v>
      </c>
      <c r="G82" s="895">
        <v>47342502</v>
      </c>
      <c r="H82" s="895">
        <v>5345</v>
      </c>
      <c r="I82" s="926"/>
      <c r="J82" s="895">
        <v>2558</v>
      </c>
      <c r="K82" s="889">
        <v>2662</v>
      </c>
      <c r="L82" s="905">
        <v>125</v>
      </c>
    </row>
    <row r="83" spans="1:13" ht="13.15" customHeight="1">
      <c r="A83" s="887" t="s">
        <v>585</v>
      </c>
      <c r="B83" s="889">
        <v>9556</v>
      </c>
      <c r="C83" s="895">
        <v>8637298.3300000001</v>
      </c>
      <c r="D83" s="895"/>
      <c r="E83" s="925">
        <v>2457</v>
      </c>
      <c r="F83" s="895">
        <v>1456</v>
      </c>
      <c r="G83" s="895">
        <v>38066503.700000003</v>
      </c>
      <c r="H83" s="895">
        <v>3913</v>
      </c>
      <c r="I83" s="926"/>
      <c r="J83" s="895">
        <v>1839</v>
      </c>
      <c r="K83" s="889">
        <v>1974</v>
      </c>
      <c r="L83" s="905">
        <v>100</v>
      </c>
    </row>
    <row r="84" spans="1:13" ht="13.15" customHeight="1">
      <c r="A84" s="887" t="s">
        <v>588</v>
      </c>
      <c r="B84" s="889">
        <v>30919</v>
      </c>
      <c r="C84" s="895">
        <v>28145335.070000008</v>
      </c>
      <c r="D84" s="895"/>
      <c r="E84" s="925">
        <v>9897</v>
      </c>
      <c r="F84" s="895">
        <v>3231</v>
      </c>
      <c r="G84" s="895">
        <v>99015317.5</v>
      </c>
      <c r="H84" s="895">
        <v>13128</v>
      </c>
      <c r="I84" s="926"/>
      <c r="J84" s="895">
        <v>7432</v>
      </c>
      <c r="K84" s="889">
        <v>5241</v>
      </c>
      <c r="L84" s="905">
        <v>455</v>
      </c>
    </row>
    <row r="85" spans="1:13" ht="13.15" customHeight="1">
      <c r="A85" s="881" t="s">
        <v>591</v>
      </c>
      <c r="B85" s="895">
        <v>11095</v>
      </c>
      <c r="C85" s="895">
        <v>10038758.579999998</v>
      </c>
      <c r="D85" s="895"/>
      <c r="E85" s="925">
        <v>3087</v>
      </c>
      <c r="F85" s="895">
        <v>1587</v>
      </c>
      <c r="G85" s="895">
        <v>43699344.509999998</v>
      </c>
      <c r="H85" s="895">
        <v>4674</v>
      </c>
      <c r="I85" s="926"/>
      <c r="J85" s="895">
        <v>2335</v>
      </c>
      <c r="K85" s="895">
        <v>2227</v>
      </c>
      <c r="L85" s="906">
        <v>112</v>
      </c>
    </row>
    <row r="86" spans="1:13" ht="13.15" customHeight="1">
      <c r="A86" s="881" t="s">
        <v>594</v>
      </c>
      <c r="B86" s="895">
        <v>71649</v>
      </c>
      <c r="C86" s="895">
        <v>65166606.890000008</v>
      </c>
      <c r="D86" s="895"/>
      <c r="E86" s="925">
        <v>22335</v>
      </c>
      <c r="F86" s="895">
        <v>11233</v>
      </c>
      <c r="G86" s="895">
        <v>273224394.36999995</v>
      </c>
      <c r="H86" s="895">
        <v>33568</v>
      </c>
      <c r="I86" s="926"/>
      <c r="J86" s="895">
        <v>18763</v>
      </c>
      <c r="K86" s="895">
        <v>13932</v>
      </c>
      <c r="L86" s="906">
        <v>873</v>
      </c>
      <c r="M86" s="431"/>
    </row>
    <row r="87" spans="1:13" ht="18">
      <c r="A87" s="407" t="s">
        <v>835</v>
      </c>
      <c r="B87" s="906"/>
      <c r="C87" s="906"/>
      <c r="D87" s="906"/>
      <c r="E87" s="906"/>
      <c r="F87" s="906"/>
      <c r="G87" s="906"/>
      <c r="H87" s="906"/>
      <c r="I87" s="906"/>
      <c r="J87" s="906"/>
      <c r="K87" s="906"/>
      <c r="L87" s="906"/>
      <c r="M87" s="431"/>
    </row>
    <row r="88" spans="1:13" ht="15.75">
      <c r="A88" s="434" t="s">
        <v>831</v>
      </c>
      <c r="B88" s="906"/>
      <c r="C88" s="906"/>
      <c r="D88" s="906"/>
      <c r="E88" s="906"/>
      <c r="F88" s="906"/>
      <c r="G88" s="906"/>
      <c r="H88" s="906"/>
      <c r="I88" s="906"/>
      <c r="J88" s="906"/>
      <c r="K88" s="906"/>
      <c r="L88" s="906"/>
    </row>
    <row r="89" spans="1:13" ht="15.75">
      <c r="A89" s="430" t="str">
        <f>A46</f>
        <v>Taxable Year 2010</v>
      </c>
      <c r="B89" s="906"/>
      <c r="C89" s="906"/>
      <c r="D89" s="906"/>
      <c r="E89" s="906"/>
      <c r="F89" s="906"/>
      <c r="G89" s="906"/>
      <c r="H89" s="906"/>
      <c r="I89" s="906"/>
      <c r="J89" s="906"/>
      <c r="K89" s="906"/>
      <c r="L89" s="906"/>
    </row>
    <row r="90" spans="1:13" ht="13.15" customHeight="1" thickBot="1">
      <c r="A90" s="899"/>
      <c r="B90" s="435">
        <f t="shared" ref="B90:L90" si="1">SUM(B52:B86)</f>
        <v>1508921</v>
      </c>
      <c r="C90" s="435">
        <f t="shared" si="1"/>
        <v>1375260226.3900001</v>
      </c>
      <c r="D90" s="435">
        <f t="shared" si="1"/>
        <v>0</v>
      </c>
      <c r="E90" s="435">
        <f t="shared" si="1"/>
        <v>360779</v>
      </c>
      <c r="F90" s="435">
        <f t="shared" si="1"/>
        <v>278304</v>
      </c>
      <c r="G90" s="435">
        <f t="shared" si="1"/>
        <v>7324017549.0599976</v>
      </c>
      <c r="H90" s="435">
        <f t="shared" si="1"/>
        <v>639083</v>
      </c>
      <c r="I90" s="435">
        <f t="shared" si="1"/>
        <v>0</v>
      </c>
      <c r="J90" s="435">
        <f t="shared" si="1"/>
        <v>331001</v>
      </c>
      <c r="K90" s="435">
        <f t="shared" si="1"/>
        <v>290175</v>
      </c>
      <c r="L90" s="435">
        <f t="shared" si="1"/>
        <v>17907</v>
      </c>
    </row>
    <row r="91" spans="1:13">
      <c r="A91" s="907"/>
      <c r="B91" s="1028" t="s">
        <v>505</v>
      </c>
      <c r="C91" s="1028"/>
      <c r="D91" s="927"/>
      <c r="E91" s="1029" t="s">
        <v>506</v>
      </c>
      <c r="F91" s="1030"/>
      <c r="G91" s="1030"/>
      <c r="H91" s="1030"/>
      <c r="I91" s="909"/>
      <c r="J91" s="910"/>
      <c r="K91" s="911" t="s">
        <v>832</v>
      </c>
      <c r="L91" s="912"/>
      <c r="M91" s="431"/>
    </row>
    <row r="92" spans="1:13" ht="13.15" customHeight="1">
      <c r="A92" s="928"/>
      <c r="B92" s="929"/>
      <c r="C92" s="929"/>
      <c r="D92" s="929"/>
      <c r="E92" s="930"/>
      <c r="F92" s="929"/>
      <c r="G92" s="929"/>
      <c r="H92" s="931" t="s">
        <v>25</v>
      </c>
      <c r="I92" s="932"/>
      <c r="J92" s="931"/>
      <c r="K92" s="931" t="s">
        <v>492</v>
      </c>
      <c r="L92" s="928" t="s">
        <v>492</v>
      </c>
    </row>
    <row r="93" spans="1:13" ht="13.15" customHeight="1">
      <c r="A93" s="880" t="s">
        <v>33</v>
      </c>
      <c r="B93" s="919" t="s">
        <v>833</v>
      </c>
      <c r="C93" s="919" t="s">
        <v>30</v>
      </c>
      <c r="D93" s="919"/>
      <c r="E93" s="920" t="s">
        <v>502</v>
      </c>
      <c r="F93" s="919" t="s">
        <v>501</v>
      </c>
      <c r="G93" s="919" t="s">
        <v>30</v>
      </c>
      <c r="H93" s="919" t="s">
        <v>497</v>
      </c>
      <c r="I93" s="921"/>
      <c r="J93" s="919" t="s">
        <v>834</v>
      </c>
      <c r="K93" s="919" t="s">
        <v>494</v>
      </c>
      <c r="L93" s="880" t="s">
        <v>495</v>
      </c>
    </row>
    <row r="94" spans="1:13" ht="10.7" customHeight="1">
      <c r="A94" s="881"/>
      <c r="B94" s="931"/>
      <c r="C94" s="931"/>
      <c r="D94" s="931"/>
      <c r="E94" s="934"/>
      <c r="F94" s="931"/>
      <c r="G94" s="931"/>
      <c r="H94" s="931"/>
      <c r="I94" s="932"/>
      <c r="J94" s="931"/>
      <c r="K94" s="931"/>
      <c r="L94" s="905"/>
    </row>
    <row r="95" spans="1:13" ht="13.15" customHeight="1">
      <c r="A95" s="887" t="s">
        <v>596</v>
      </c>
      <c r="B95" s="889">
        <v>15587</v>
      </c>
      <c r="C95" s="924">
        <v>14180275.689999996</v>
      </c>
      <c r="D95" s="924"/>
      <c r="E95" s="925">
        <v>4538</v>
      </c>
      <c r="F95" s="895">
        <v>2135</v>
      </c>
      <c r="G95" s="924">
        <v>58656769.299999997</v>
      </c>
      <c r="H95" s="895">
        <v>6673</v>
      </c>
      <c r="I95" s="926"/>
      <c r="J95" s="895">
        <v>3402</v>
      </c>
      <c r="K95" s="889">
        <v>3107</v>
      </c>
      <c r="L95" s="905">
        <v>164</v>
      </c>
    </row>
    <row r="96" spans="1:13" ht="13.15" customHeight="1">
      <c r="A96" s="887" t="s">
        <v>599</v>
      </c>
      <c r="B96" s="889">
        <v>19539</v>
      </c>
      <c r="C96" s="895">
        <v>17846517.089999996</v>
      </c>
      <c r="D96" s="895"/>
      <c r="E96" s="925">
        <v>4179</v>
      </c>
      <c r="F96" s="895">
        <v>4179</v>
      </c>
      <c r="G96" s="895">
        <v>90788936.920000002</v>
      </c>
      <c r="H96" s="895">
        <v>8358</v>
      </c>
      <c r="I96" s="926"/>
      <c r="J96" s="895">
        <v>3763</v>
      </c>
      <c r="K96" s="889">
        <v>4367</v>
      </c>
      <c r="L96" s="905">
        <v>228</v>
      </c>
    </row>
    <row r="97" spans="1:12" ht="13.15" customHeight="1">
      <c r="A97" s="887" t="s">
        <v>601</v>
      </c>
      <c r="B97" s="889">
        <v>12686</v>
      </c>
      <c r="C97" s="895">
        <v>11550722.079999998</v>
      </c>
      <c r="D97" s="895"/>
      <c r="E97" s="925">
        <v>4000</v>
      </c>
      <c r="F97" s="895">
        <v>1517</v>
      </c>
      <c r="G97" s="895">
        <v>45712068</v>
      </c>
      <c r="H97" s="895">
        <v>5517</v>
      </c>
      <c r="I97" s="926"/>
      <c r="J97" s="895">
        <v>3358</v>
      </c>
      <c r="K97" s="889">
        <v>1989</v>
      </c>
      <c r="L97" s="905">
        <v>170</v>
      </c>
    </row>
    <row r="98" spans="1:12" ht="13.15" customHeight="1">
      <c r="A98" s="887" t="s">
        <v>604</v>
      </c>
      <c r="B98" s="889">
        <v>14371</v>
      </c>
      <c r="C98" s="895">
        <v>12955320.630000003</v>
      </c>
      <c r="D98" s="895"/>
      <c r="E98" s="925">
        <v>3650</v>
      </c>
      <c r="F98" s="895">
        <v>1992</v>
      </c>
      <c r="G98" s="895">
        <v>56402502.700000003</v>
      </c>
      <c r="H98" s="895">
        <v>5642</v>
      </c>
      <c r="I98" s="926"/>
      <c r="J98" s="895">
        <v>2777</v>
      </c>
      <c r="K98" s="889">
        <v>2718</v>
      </c>
      <c r="L98" s="905">
        <v>147</v>
      </c>
    </row>
    <row r="99" spans="1:12" ht="13.15" customHeight="1">
      <c r="A99" s="887" t="s">
        <v>607</v>
      </c>
      <c r="B99" s="889">
        <v>14028</v>
      </c>
      <c r="C99" s="895">
        <v>12821219.680000002</v>
      </c>
      <c r="D99" s="895"/>
      <c r="E99" s="925">
        <v>4468</v>
      </c>
      <c r="F99" s="895">
        <v>1366</v>
      </c>
      <c r="G99" s="895">
        <v>40953562.600000001</v>
      </c>
      <c r="H99" s="895">
        <v>5834</v>
      </c>
      <c r="I99" s="926"/>
      <c r="J99" s="895">
        <v>3416</v>
      </c>
      <c r="K99" s="889">
        <v>2258</v>
      </c>
      <c r="L99" s="905">
        <v>160</v>
      </c>
    </row>
    <row r="100" spans="1:12" ht="10.7" customHeight="1">
      <c r="A100" s="887"/>
      <c r="B100" s="889"/>
      <c r="C100" s="895"/>
      <c r="D100" s="895"/>
      <c r="E100" s="925"/>
      <c r="F100" s="895"/>
      <c r="G100" s="895"/>
      <c r="H100" s="895"/>
      <c r="I100" s="926"/>
      <c r="J100" s="895"/>
      <c r="K100" s="889"/>
      <c r="L100" s="905"/>
    </row>
    <row r="101" spans="1:12" ht="13.15" customHeight="1">
      <c r="A101" s="887" t="s">
        <v>610</v>
      </c>
      <c r="B101" s="889">
        <v>35167</v>
      </c>
      <c r="C101" s="895">
        <v>31950977.230000008</v>
      </c>
      <c r="D101" s="895"/>
      <c r="E101" s="925">
        <v>8466</v>
      </c>
      <c r="F101" s="895">
        <v>6039</v>
      </c>
      <c r="G101" s="895">
        <v>150688033.69999999</v>
      </c>
      <c r="H101" s="895">
        <v>14505</v>
      </c>
      <c r="I101" s="926"/>
      <c r="J101" s="895">
        <v>7196</v>
      </c>
      <c r="K101" s="889">
        <v>6891</v>
      </c>
      <c r="L101" s="905">
        <v>418</v>
      </c>
    </row>
    <row r="102" spans="1:12" ht="13.15" customHeight="1">
      <c r="A102" s="887" t="s">
        <v>613</v>
      </c>
      <c r="B102" s="889">
        <v>23175</v>
      </c>
      <c r="C102" s="895">
        <v>21179036.540000003</v>
      </c>
      <c r="D102" s="895"/>
      <c r="E102" s="925">
        <v>7689</v>
      </c>
      <c r="F102" s="895">
        <v>2418</v>
      </c>
      <c r="G102" s="895">
        <v>78576117.450000003</v>
      </c>
      <c r="H102" s="895">
        <v>10107</v>
      </c>
      <c r="I102" s="926"/>
      <c r="J102" s="895">
        <v>5303</v>
      </c>
      <c r="K102" s="889">
        <v>4584</v>
      </c>
      <c r="L102" s="905">
        <v>220</v>
      </c>
    </row>
    <row r="103" spans="1:12" ht="13.15" customHeight="1">
      <c r="A103" s="887" t="s">
        <v>616</v>
      </c>
      <c r="B103" s="889">
        <v>16658</v>
      </c>
      <c r="C103" s="895">
        <v>15198409.17</v>
      </c>
      <c r="D103" s="895"/>
      <c r="E103" s="925">
        <v>5726</v>
      </c>
      <c r="F103" s="895">
        <v>1307</v>
      </c>
      <c r="G103" s="895">
        <v>45859145.599999994</v>
      </c>
      <c r="H103" s="895">
        <v>7033</v>
      </c>
      <c r="I103" s="926"/>
      <c r="J103" s="895">
        <v>3245</v>
      </c>
      <c r="K103" s="889">
        <v>3502</v>
      </c>
      <c r="L103" s="905">
        <v>286</v>
      </c>
    </row>
    <row r="104" spans="1:12" ht="13.15" customHeight="1">
      <c r="A104" s="887" t="s">
        <v>619</v>
      </c>
      <c r="B104" s="889">
        <v>60221</v>
      </c>
      <c r="C104" s="895">
        <v>55113758.189999998</v>
      </c>
      <c r="D104" s="895"/>
      <c r="E104" s="925">
        <v>19399</v>
      </c>
      <c r="F104" s="895">
        <v>6181</v>
      </c>
      <c r="G104" s="895">
        <v>171069715</v>
      </c>
      <c r="H104" s="895">
        <v>25580</v>
      </c>
      <c r="I104" s="926"/>
      <c r="J104" s="895">
        <v>13286</v>
      </c>
      <c r="K104" s="889">
        <v>11610</v>
      </c>
      <c r="L104" s="905">
        <v>684</v>
      </c>
    </row>
    <row r="105" spans="1:12" ht="13.15" customHeight="1">
      <c r="A105" s="887" t="s">
        <v>622</v>
      </c>
      <c r="B105" s="889">
        <v>27521</v>
      </c>
      <c r="C105" s="895">
        <v>25143066.699999996</v>
      </c>
      <c r="D105" s="895"/>
      <c r="E105" s="925">
        <v>5426</v>
      </c>
      <c r="F105" s="895">
        <v>5820</v>
      </c>
      <c r="G105" s="895">
        <v>129846265.5</v>
      </c>
      <c r="H105" s="895">
        <v>11246</v>
      </c>
      <c r="I105" s="926"/>
      <c r="J105" s="895">
        <v>4849</v>
      </c>
      <c r="K105" s="889">
        <v>6115</v>
      </c>
      <c r="L105" s="905">
        <v>282</v>
      </c>
    </row>
    <row r="106" spans="1:12" ht="10.7" customHeight="1">
      <c r="A106" s="887"/>
      <c r="B106" s="889"/>
      <c r="C106" s="895"/>
      <c r="D106" s="895"/>
      <c r="E106" s="925"/>
      <c r="F106" s="895"/>
      <c r="G106" s="895"/>
      <c r="H106" s="895"/>
      <c r="I106" s="926"/>
      <c r="J106" s="895"/>
      <c r="K106" s="889"/>
      <c r="L106" s="905"/>
    </row>
    <row r="107" spans="1:12" ht="13.15" customHeight="1">
      <c r="A107" s="887" t="s">
        <v>625</v>
      </c>
      <c r="B107" s="889">
        <v>16969</v>
      </c>
      <c r="C107" s="895">
        <v>15475487.85</v>
      </c>
      <c r="D107" s="895"/>
      <c r="E107" s="925">
        <v>5460</v>
      </c>
      <c r="F107" s="895">
        <v>1950</v>
      </c>
      <c r="G107" s="895">
        <v>52480923.200000003</v>
      </c>
      <c r="H107" s="895">
        <v>7410</v>
      </c>
      <c r="I107" s="926"/>
      <c r="J107" s="895">
        <v>4471</v>
      </c>
      <c r="K107" s="889">
        <v>2731</v>
      </c>
      <c r="L107" s="905">
        <v>208</v>
      </c>
    </row>
    <row r="108" spans="1:12" ht="13.15" customHeight="1">
      <c r="A108" s="887" t="s">
        <v>627</v>
      </c>
      <c r="B108" s="889">
        <v>28760</v>
      </c>
      <c r="C108" s="895">
        <v>26238311.530000001</v>
      </c>
      <c r="D108" s="895"/>
      <c r="E108" s="925">
        <v>7105</v>
      </c>
      <c r="F108" s="895">
        <v>5204</v>
      </c>
      <c r="G108" s="895">
        <v>122825239.3</v>
      </c>
      <c r="H108" s="895">
        <v>12309</v>
      </c>
      <c r="I108" s="926"/>
      <c r="J108" s="895">
        <v>6189</v>
      </c>
      <c r="K108" s="889">
        <v>5594</v>
      </c>
      <c r="L108" s="905">
        <v>526</v>
      </c>
    </row>
    <row r="109" spans="1:12" ht="13.15" customHeight="1">
      <c r="A109" s="887" t="s">
        <v>630</v>
      </c>
      <c r="B109" s="889">
        <v>414872</v>
      </c>
      <c r="C109" s="895">
        <v>379304883.50999999</v>
      </c>
      <c r="D109" s="895"/>
      <c r="E109" s="925">
        <v>82369</v>
      </c>
      <c r="F109" s="895">
        <v>93809</v>
      </c>
      <c r="G109" s="895">
        <v>2458122436.8900003</v>
      </c>
      <c r="H109" s="895">
        <v>176178</v>
      </c>
      <c r="I109" s="926"/>
      <c r="J109" s="895">
        <v>96149</v>
      </c>
      <c r="K109" s="889">
        <v>73690</v>
      </c>
      <c r="L109" s="905">
        <v>6339</v>
      </c>
    </row>
    <row r="110" spans="1:12" ht="13.15" customHeight="1">
      <c r="A110" s="887" t="s">
        <v>632</v>
      </c>
      <c r="B110" s="889">
        <v>30917</v>
      </c>
      <c r="C110" s="895">
        <v>28249505.890000001</v>
      </c>
      <c r="D110" s="895"/>
      <c r="E110" s="925">
        <v>10460</v>
      </c>
      <c r="F110" s="895">
        <v>3169</v>
      </c>
      <c r="G110" s="895">
        <v>89477790.310000002</v>
      </c>
      <c r="H110" s="895">
        <v>13629</v>
      </c>
      <c r="I110" s="926"/>
      <c r="J110" s="895">
        <v>7006</v>
      </c>
      <c r="K110" s="889">
        <v>6356</v>
      </c>
      <c r="L110" s="905">
        <v>267</v>
      </c>
    </row>
    <row r="111" spans="1:12" ht="13.15" customHeight="1">
      <c r="A111" s="887" t="s">
        <v>635</v>
      </c>
      <c r="B111" s="889">
        <v>7923</v>
      </c>
      <c r="C111" s="895">
        <v>7198322.3999999994</v>
      </c>
      <c r="D111" s="895"/>
      <c r="E111" s="925">
        <v>1938</v>
      </c>
      <c r="F111" s="895">
        <v>1462</v>
      </c>
      <c r="G111" s="895">
        <v>42470999.5</v>
      </c>
      <c r="H111" s="895">
        <v>3400</v>
      </c>
      <c r="I111" s="926"/>
      <c r="J111" s="895">
        <v>1678</v>
      </c>
      <c r="K111" s="889">
        <v>1611</v>
      </c>
      <c r="L111" s="905">
        <v>111</v>
      </c>
    </row>
    <row r="112" spans="1:12" ht="10.7" customHeight="1">
      <c r="A112" s="887"/>
      <c r="B112" s="889"/>
      <c r="C112" s="895"/>
      <c r="D112" s="895"/>
      <c r="E112" s="925"/>
      <c r="F112" s="895"/>
      <c r="G112" s="895"/>
      <c r="H112" s="895"/>
      <c r="I112" s="926"/>
      <c r="J112" s="895"/>
      <c r="K112" s="889"/>
      <c r="L112" s="905"/>
    </row>
    <row r="113" spans="1:12" ht="13.15" customHeight="1">
      <c r="A113" s="887" t="s">
        <v>565</v>
      </c>
      <c r="B113" s="889">
        <v>13031</v>
      </c>
      <c r="C113" s="895">
        <v>11933348.800000001</v>
      </c>
      <c r="D113" s="895"/>
      <c r="E113" s="925">
        <v>3339</v>
      </c>
      <c r="F113" s="895">
        <v>2167</v>
      </c>
      <c r="G113" s="961">
        <v>87131037.230000004</v>
      </c>
      <c r="H113" s="895">
        <v>5506</v>
      </c>
      <c r="I113" s="926"/>
      <c r="J113" s="895">
        <v>2922</v>
      </c>
      <c r="K113" s="889">
        <v>2148</v>
      </c>
      <c r="L113" s="905">
        <v>436</v>
      </c>
    </row>
    <row r="114" spans="1:12" ht="13.15" customHeight="1">
      <c r="A114" s="887" t="s">
        <v>569</v>
      </c>
      <c r="B114" s="889">
        <v>99695</v>
      </c>
      <c r="C114" s="895">
        <v>90659134.909999967</v>
      </c>
      <c r="D114" s="895"/>
      <c r="E114" s="925">
        <v>24693</v>
      </c>
      <c r="F114" s="895">
        <v>17670</v>
      </c>
      <c r="G114" s="895">
        <v>403712505.06</v>
      </c>
      <c r="H114" s="895">
        <v>42363</v>
      </c>
      <c r="I114" s="926"/>
      <c r="J114" s="895">
        <v>21157</v>
      </c>
      <c r="K114" s="889">
        <v>20298</v>
      </c>
      <c r="L114" s="905">
        <v>908</v>
      </c>
    </row>
    <row r="115" spans="1:12" ht="13.15" customHeight="1">
      <c r="A115" s="887" t="s">
        <v>642</v>
      </c>
      <c r="B115" s="889">
        <v>21129</v>
      </c>
      <c r="C115" s="895">
        <v>19218587.610000007</v>
      </c>
      <c r="D115" s="895"/>
      <c r="E115" s="925">
        <v>6322</v>
      </c>
      <c r="F115" s="895">
        <v>2724</v>
      </c>
      <c r="G115" s="895">
        <v>80973819.5</v>
      </c>
      <c r="H115" s="895">
        <v>9046</v>
      </c>
      <c r="I115" s="926"/>
      <c r="J115" s="895">
        <v>4517</v>
      </c>
      <c r="K115" s="889">
        <v>4323</v>
      </c>
      <c r="L115" s="905">
        <v>206</v>
      </c>
    </row>
    <row r="116" spans="1:12" ht="13.15" customHeight="1">
      <c r="A116" s="887" t="s">
        <v>645</v>
      </c>
      <c r="B116" s="889">
        <v>80269</v>
      </c>
      <c r="C116" s="895">
        <v>73261151.329999998</v>
      </c>
      <c r="D116" s="895"/>
      <c r="E116" s="925">
        <v>22908</v>
      </c>
      <c r="F116" s="895">
        <v>10812</v>
      </c>
      <c r="G116" s="895">
        <v>278299694.04000008</v>
      </c>
      <c r="H116" s="895">
        <v>33720</v>
      </c>
      <c r="I116" s="926"/>
      <c r="J116" s="895">
        <v>16719</v>
      </c>
      <c r="K116" s="889">
        <v>16327</v>
      </c>
      <c r="L116" s="905">
        <v>674</v>
      </c>
    </row>
    <row r="117" spans="1:12" ht="13.15" customHeight="1">
      <c r="A117" s="887" t="s">
        <v>648</v>
      </c>
      <c r="B117" s="889">
        <v>24277</v>
      </c>
      <c r="C117" s="895">
        <v>22267350.469999999</v>
      </c>
      <c r="D117" s="895"/>
      <c r="E117" s="925">
        <v>8638</v>
      </c>
      <c r="F117" s="895">
        <v>1606</v>
      </c>
      <c r="G117" s="895">
        <v>61452829.299999997</v>
      </c>
      <c r="H117" s="895">
        <v>10244</v>
      </c>
      <c r="I117" s="926"/>
      <c r="J117" s="895">
        <v>4518</v>
      </c>
      <c r="K117" s="889">
        <v>5498</v>
      </c>
      <c r="L117" s="905">
        <v>228</v>
      </c>
    </row>
    <row r="118" spans="1:12" ht="10.7" customHeight="1">
      <c r="A118" s="887"/>
      <c r="B118" s="889"/>
      <c r="C118" s="895"/>
      <c r="D118" s="895"/>
      <c r="E118" s="925"/>
      <c r="F118" s="895"/>
      <c r="G118" s="895"/>
      <c r="H118" s="895"/>
      <c r="I118" s="926"/>
      <c r="J118" s="895"/>
      <c r="K118" s="889"/>
      <c r="L118" s="905"/>
    </row>
    <row r="119" spans="1:12" ht="13.15" customHeight="1">
      <c r="A119" s="887" t="s">
        <v>524</v>
      </c>
      <c r="B119" s="889">
        <v>21142</v>
      </c>
      <c r="C119" s="895">
        <v>19316096.039999999</v>
      </c>
      <c r="D119" s="895"/>
      <c r="E119" s="925">
        <v>7546</v>
      </c>
      <c r="F119" s="895">
        <v>1413</v>
      </c>
      <c r="G119" s="895">
        <v>55647144.299999997</v>
      </c>
      <c r="H119" s="895">
        <v>8959</v>
      </c>
      <c r="I119" s="926"/>
      <c r="J119" s="895">
        <v>3931</v>
      </c>
      <c r="K119" s="889">
        <v>4479</v>
      </c>
      <c r="L119" s="905">
        <v>549</v>
      </c>
    </row>
    <row r="120" spans="1:12" ht="13.15" customHeight="1">
      <c r="A120" s="887" t="s">
        <v>528</v>
      </c>
      <c r="B120" s="889">
        <v>42563</v>
      </c>
      <c r="C120" s="895">
        <v>38771005.949999996</v>
      </c>
      <c r="D120" s="895"/>
      <c r="E120" s="925">
        <v>12358</v>
      </c>
      <c r="F120" s="895">
        <v>5982</v>
      </c>
      <c r="G120" s="895">
        <v>146195412.69999999</v>
      </c>
      <c r="H120" s="895">
        <v>18340</v>
      </c>
      <c r="I120" s="926"/>
      <c r="J120" s="895">
        <v>9642</v>
      </c>
      <c r="K120" s="889">
        <v>8285</v>
      </c>
      <c r="L120" s="905">
        <v>413</v>
      </c>
    </row>
    <row r="121" spans="1:12" ht="13.15" customHeight="1">
      <c r="A121" s="887" t="s">
        <v>532</v>
      </c>
      <c r="B121" s="889">
        <v>29873</v>
      </c>
      <c r="C121" s="895">
        <v>27322849.25</v>
      </c>
      <c r="D121" s="895"/>
      <c r="E121" s="925">
        <v>10761</v>
      </c>
      <c r="F121" s="895">
        <v>2014</v>
      </c>
      <c r="G121" s="895">
        <v>75719565.099999994</v>
      </c>
      <c r="H121" s="895">
        <v>12775</v>
      </c>
      <c r="I121" s="926"/>
      <c r="J121" s="895">
        <v>6507</v>
      </c>
      <c r="K121" s="889">
        <v>6007</v>
      </c>
      <c r="L121" s="905">
        <v>261</v>
      </c>
    </row>
    <row r="122" spans="1:12" ht="13.15" customHeight="1">
      <c r="A122" s="887" t="s">
        <v>536</v>
      </c>
      <c r="B122" s="889">
        <v>17741</v>
      </c>
      <c r="C122" s="895">
        <v>16232324.170000002</v>
      </c>
      <c r="D122" s="895"/>
      <c r="E122" s="925">
        <v>4894</v>
      </c>
      <c r="F122" s="895">
        <v>2610</v>
      </c>
      <c r="G122" s="895">
        <v>59718398.200000003</v>
      </c>
      <c r="H122" s="895">
        <v>7504</v>
      </c>
      <c r="I122" s="926"/>
      <c r="J122" s="895">
        <v>3967</v>
      </c>
      <c r="K122" s="889">
        <v>3243</v>
      </c>
      <c r="L122" s="905">
        <v>294</v>
      </c>
    </row>
    <row r="123" spans="1:12" ht="13.15" customHeight="1">
      <c r="A123" s="887" t="s">
        <v>540</v>
      </c>
      <c r="B123" s="889">
        <v>124405</v>
      </c>
      <c r="C123" s="895">
        <v>113558123.57999995</v>
      </c>
      <c r="D123" s="895"/>
      <c r="E123" s="925">
        <v>26653</v>
      </c>
      <c r="F123" s="895">
        <v>25178</v>
      </c>
      <c r="G123" s="895">
        <v>598186898.01999998</v>
      </c>
      <c r="H123" s="895">
        <v>51831</v>
      </c>
      <c r="I123" s="926"/>
      <c r="J123" s="895">
        <v>26667</v>
      </c>
      <c r="K123" s="889">
        <v>23553</v>
      </c>
      <c r="L123" s="905">
        <v>1611</v>
      </c>
    </row>
    <row r="124" spans="1:12" ht="10.7" customHeight="1">
      <c r="A124" s="887"/>
      <c r="B124" s="889"/>
      <c r="C124" s="895"/>
      <c r="D124" s="895"/>
      <c r="E124" s="925"/>
      <c r="F124" s="895"/>
      <c r="G124" s="895"/>
      <c r="H124" s="895"/>
      <c r="I124" s="926"/>
      <c r="J124" s="895"/>
      <c r="K124" s="889"/>
      <c r="L124" s="905"/>
    </row>
    <row r="125" spans="1:12" ht="13.15" customHeight="1">
      <c r="A125" s="887" t="s">
        <v>544</v>
      </c>
      <c r="B125" s="889">
        <v>123698</v>
      </c>
      <c r="C125" s="895">
        <v>112666076.26000002</v>
      </c>
      <c r="D125" s="895"/>
      <c r="E125" s="925">
        <v>23843</v>
      </c>
      <c r="F125" s="895">
        <v>26793</v>
      </c>
      <c r="G125" s="895">
        <v>670158546.64999998</v>
      </c>
      <c r="H125" s="895">
        <v>50636</v>
      </c>
      <c r="I125" s="926"/>
      <c r="J125" s="895">
        <v>24849</v>
      </c>
      <c r="K125" s="889">
        <v>23803</v>
      </c>
      <c r="L125" s="905">
        <v>1984</v>
      </c>
    </row>
    <row r="126" spans="1:12" ht="13.15" customHeight="1">
      <c r="A126" s="887" t="s">
        <v>548</v>
      </c>
      <c r="B126" s="889">
        <v>7251</v>
      </c>
      <c r="C126" s="895">
        <v>6644063.2100000009</v>
      </c>
      <c r="D126" s="895"/>
      <c r="E126" s="925">
        <v>2066</v>
      </c>
      <c r="F126" s="895">
        <v>1169</v>
      </c>
      <c r="G126" s="895">
        <v>27168471.709999997</v>
      </c>
      <c r="H126" s="895">
        <v>3235</v>
      </c>
      <c r="I126" s="926"/>
      <c r="J126" s="895">
        <v>1774</v>
      </c>
      <c r="K126" s="889">
        <v>1308</v>
      </c>
      <c r="L126" s="905">
        <v>153</v>
      </c>
    </row>
    <row r="127" spans="1:12" ht="13.15" customHeight="1">
      <c r="A127" s="887" t="s">
        <v>552</v>
      </c>
      <c r="B127" s="889">
        <v>9348</v>
      </c>
      <c r="C127" s="895">
        <v>8549054.9299999997</v>
      </c>
      <c r="D127" s="895"/>
      <c r="E127" s="925">
        <v>2909</v>
      </c>
      <c r="F127" s="895">
        <v>1154</v>
      </c>
      <c r="G127" s="895">
        <v>29558325.899999999</v>
      </c>
      <c r="H127" s="895">
        <v>4063</v>
      </c>
      <c r="I127" s="926"/>
      <c r="J127" s="895">
        <v>2500</v>
      </c>
      <c r="K127" s="889">
        <v>1397</v>
      </c>
      <c r="L127" s="905">
        <v>166</v>
      </c>
    </row>
    <row r="128" spans="1:12" ht="13.15" customHeight="1">
      <c r="A128" s="881" t="s">
        <v>556</v>
      </c>
      <c r="B128" s="895">
        <v>39400</v>
      </c>
      <c r="C128" s="895">
        <v>36000599.61999999</v>
      </c>
      <c r="D128" s="895"/>
      <c r="E128" s="925">
        <v>13632</v>
      </c>
      <c r="F128" s="895">
        <v>2983</v>
      </c>
      <c r="G128" s="895">
        <v>107839264.15000001</v>
      </c>
      <c r="H128" s="895">
        <v>16615</v>
      </c>
      <c r="I128" s="926"/>
      <c r="J128" s="895">
        <v>7694</v>
      </c>
      <c r="K128" s="895">
        <v>8514</v>
      </c>
      <c r="L128" s="906">
        <v>407</v>
      </c>
    </row>
    <row r="129" spans="1:14" ht="13.15" customHeight="1">
      <c r="A129" s="881" t="s">
        <v>560</v>
      </c>
      <c r="B129" s="895">
        <v>37455</v>
      </c>
      <c r="C129" s="895">
        <v>34177826.26000002</v>
      </c>
      <c r="D129" s="895"/>
      <c r="E129" s="925">
        <v>9503</v>
      </c>
      <c r="F129" s="895">
        <v>6657</v>
      </c>
      <c r="G129" s="895">
        <v>163989130.41999999</v>
      </c>
      <c r="H129" s="895">
        <v>16160</v>
      </c>
      <c r="I129" s="926"/>
      <c r="J129" s="895">
        <v>8610</v>
      </c>
      <c r="K129" s="895">
        <v>7169</v>
      </c>
      <c r="L129" s="906">
        <v>381</v>
      </c>
      <c r="M129" s="431"/>
    </row>
    <row r="130" spans="1:14" ht="18">
      <c r="A130" s="407" t="s">
        <v>835</v>
      </c>
      <c r="B130" s="906"/>
      <c r="C130" s="906"/>
      <c r="D130" s="906"/>
      <c r="E130" s="906"/>
      <c r="F130" s="906"/>
      <c r="G130" s="906"/>
      <c r="H130" s="906"/>
      <c r="I130" s="906"/>
      <c r="J130" s="906"/>
      <c r="K130" s="906"/>
      <c r="L130" s="906"/>
      <c r="M130" s="431"/>
    </row>
    <row r="131" spans="1:14" ht="15.75">
      <c r="A131" s="434" t="s">
        <v>831</v>
      </c>
      <c r="B131" s="906"/>
      <c r="C131" s="906"/>
      <c r="D131" s="906"/>
      <c r="E131" s="906"/>
      <c r="F131" s="906"/>
      <c r="G131" s="906"/>
      <c r="H131" s="906"/>
      <c r="I131" s="906"/>
      <c r="J131" s="906"/>
      <c r="K131" s="906"/>
      <c r="L131" s="906"/>
    </row>
    <row r="132" spans="1:14" ht="15.75">
      <c r="A132" s="430" t="str">
        <f>A89</f>
        <v>Taxable Year 2010</v>
      </c>
      <c r="B132" s="906"/>
      <c r="C132" s="906"/>
      <c r="D132" s="906"/>
      <c r="E132" s="906"/>
      <c r="F132" s="906"/>
      <c r="G132" s="906"/>
      <c r="H132" s="906"/>
      <c r="I132" s="906"/>
      <c r="J132" s="906"/>
      <c r="K132" s="906"/>
      <c r="L132" s="906"/>
    </row>
    <row r="133" spans="1:14" ht="13.15" customHeight="1" thickBot="1">
      <c r="A133" s="431"/>
      <c r="B133" s="435">
        <f t="shared" ref="B133:L133" si="2">SUM(B95:B129)</f>
        <v>1429671</v>
      </c>
      <c r="C133" s="435">
        <f t="shared" si="2"/>
        <v>1304983406.5699999</v>
      </c>
      <c r="D133" s="435">
        <f t="shared" si="2"/>
        <v>0</v>
      </c>
      <c r="E133" s="435">
        <f t="shared" si="2"/>
        <v>354938</v>
      </c>
      <c r="F133" s="435">
        <f t="shared" si="2"/>
        <v>249480</v>
      </c>
      <c r="G133" s="435">
        <f t="shared" si="2"/>
        <v>6479681548.249999</v>
      </c>
      <c r="H133" s="435">
        <f t="shared" si="2"/>
        <v>604418</v>
      </c>
      <c r="I133" s="435">
        <f t="shared" si="2"/>
        <v>0</v>
      </c>
      <c r="J133" s="435">
        <f t="shared" si="2"/>
        <v>312062</v>
      </c>
      <c r="K133" s="435">
        <f t="shared" si="2"/>
        <v>273475</v>
      </c>
      <c r="L133" s="435">
        <f t="shared" si="2"/>
        <v>18881</v>
      </c>
    </row>
    <row r="134" spans="1:14">
      <c r="A134" s="907"/>
      <c r="B134" s="1028" t="s">
        <v>505</v>
      </c>
      <c r="C134" s="1028"/>
      <c r="D134" s="927"/>
      <c r="E134" s="1029" t="s">
        <v>506</v>
      </c>
      <c r="F134" s="1030"/>
      <c r="G134" s="1030"/>
      <c r="H134" s="1030"/>
      <c r="I134" s="909"/>
      <c r="J134" s="910"/>
      <c r="K134" s="911" t="s">
        <v>832</v>
      </c>
      <c r="L134" s="912"/>
      <c r="M134" s="431"/>
    </row>
    <row r="135" spans="1:14" ht="13.15" customHeight="1">
      <c r="A135" s="928"/>
      <c r="B135" s="929"/>
      <c r="C135" s="929"/>
      <c r="D135" s="929"/>
      <c r="E135" s="930"/>
      <c r="F135" s="929"/>
      <c r="G135" s="929"/>
      <c r="H135" s="931" t="s">
        <v>25</v>
      </c>
      <c r="I135" s="932"/>
      <c r="J135" s="931"/>
      <c r="K135" s="931" t="s">
        <v>492</v>
      </c>
      <c r="L135" s="928" t="s">
        <v>492</v>
      </c>
    </row>
    <row r="136" spans="1:14" ht="13.15" customHeight="1">
      <c r="A136" s="880" t="s">
        <v>33</v>
      </c>
      <c r="B136" s="919" t="s">
        <v>833</v>
      </c>
      <c r="C136" s="919" t="s">
        <v>30</v>
      </c>
      <c r="D136" s="919"/>
      <c r="E136" s="920" t="s">
        <v>502</v>
      </c>
      <c r="F136" s="919" t="s">
        <v>501</v>
      </c>
      <c r="G136" s="880" t="s">
        <v>30</v>
      </c>
      <c r="H136" s="919" t="s">
        <v>497</v>
      </c>
      <c r="I136" s="921"/>
      <c r="J136" s="919" t="s">
        <v>834</v>
      </c>
      <c r="K136" s="919" t="s">
        <v>494</v>
      </c>
      <c r="L136" s="880" t="s">
        <v>495</v>
      </c>
    </row>
    <row r="137" spans="1:14" ht="10.7" customHeight="1">
      <c r="A137" s="881"/>
      <c r="B137" s="931"/>
      <c r="C137" s="931"/>
      <c r="D137" s="931"/>
      <c r="E137" s="934"/>
      <c r="F137" s="931"/>
      <c r="G137" s="931"/>
      <c r="H137" s="931"/>
      <c r="I137" s="932"/>
      <c r="J137" s="931"/>
      <c r="K137" s="931"/>
      <c r="L137" s="906"/>
    </row>
    <row r="138" spans="1:14" ht="13.15" customHeight="1">
      <c r="A138" s="884" t="s">
        <v>564</v>
      </c>
      <c r="B138" s="889">
        <v>55101</v>
      </c>
      <c r="C138" s="924">
        <v>50226010.25999999</v>
      </c>
      <c r="D138" s="924"/>
      <c r="E138" s="925">
        <v>17962</v>
      </c>
      <c r="F138" s="895">
        <v>5875</v>
      </c>
      <c r="G138" s="924">
        <v>190628262.69999999</v>
      </c>
      <c r="H138" s="895">
        <v>23837</v>
      </c>
      <c r="I138" s="926"/>
      <c r="J138" s="895">
        <v>11063</v>
      </c>
      <c r="K138" s="889">
        <v>11486</v>
      </c>
      <c r="L138" s="905">
        <v>1288</v>
      </c>
    </row>
    <row r="139" spans="1:14" ht="13.15" customHeight="1">
      <c r="A139" s="887" t="s">
        <v>568</v>
      </c>
      <c r="B139" s="889">
        <v>18275</v>
      </c>
      <c r="C139" s="895">
        <v>16557675.539999997</v>
      </c>
      <c r="D139" s="895"/>
      <c r="E139" s="925">
        <v>4953</v>
      </c>
      <c r="F139" s="895">
        <v>2619</v>
      </c>
      <c r="G139" s="895">
        <v>65645064.799999997</v>
      </c>
      <c r="H139" s="895">
        <v>7572</v>
      </c>
      <c r="I139" s="926"/>
      <c r="J139" s="895">
        <v>4280</v>
      </c>
      <c r="K139" s="889">
        <v>3081</v>
      </c>
      <c r="L139" s="905">
        <v>211</v>
      </c>
    </row>
    <row r="140" spans="1:14" ht="13.15" customHeight="1">
      <c r="A140" s="887" t="s">
        <v>572</v>
      </c>
      <c r="B140" s="889">
        <v>33306</v>
      </c>
      <c r="C140" s="895">
        <v>30550892.93999999</v>
      </c>
      <c r="D140" s="895"/>
      <c r="E140" s="925">
        <v>11682</v>
      </c>
      <c r="F140" s="895">
        <v>2382</v>
      </c>
      <c r="G140" s="895">
        <v>92926153.699999988</v>
      </c>
      <c r="H140" s="895">
        <v>14064</v>
      </c>
      <c r="I140" s="926"/>
      <c r="J140" s="895">
        <v>6714</v>
      </c>
      <c r="K140" s="889">
        <v>6914</v>
      </c>
      <c r="L140" s="905">
        <v>436</v>
      </c>
    </row>
    <row r="141" spans="1:14" ht="13.15" customHeight="1">
      <c r="A141" s="887" t="s">
        <v>576</v>
      </c>
      <c r="B141" s="889">
        <v>26800</v>
      </c>
      <c r="C141" s="895">
        <v>24472257.68</v>
      </c>
      <c r="D141" s="895"/>
      <c r="E141" s="925">
        <v>9381</v>
      </c>
      <c r="F141" s="895">
        <v>2370</v>
      </c>
      <c r="G141" s="895">
        <v>76792144.810000002</v>
      </c>
      <c r="H141" s="895">
        <v>11751</v>
      </c>
      <c r="I141" s="926"/>
      <c r="J141" s="895">
        <v>5836</v>
      </c>
      <c r="K141" s="889">
        <v>5603</v>
      </c>
      <c r="L141" s="905">
        <v>312</v>
      </c>
    </row>
    <row r="142" spans="1:14" ht="13.15" customHeight="1">
      <c r="A142" s="881" t="s">
        <v>580</v>
      </c>
      <c r="B142" s="895">
        <v>62721</v>
      </c>
      <c r="C142" s="895">
        <v>56915860.300000019</v>
      </c>
      <c r="D142" s="895"/>
      <c r="E142" s="925">
        <v>13410</v>
      </c>
      <c r="F142" s="895">
        <v>12837</v>
      </c>
      <c r="G142" s="895">
        <v>292988716.31999993</v>
      </c>
      <c r="H142" s="895">
        <v>26247</v>
      </c>
      <c r="I142" s="926"/>
      <c r="J142" s="895">
        <v>12433</v>
      </c>
      <c r="K142" s="889">
        <v>12737</v>
      </c>
      <c r="L142" s="906">
        <v>1077</v>
      </c>
    </row>
    <row r="143" spans="1:14" ht="10.7" customHeight="1">
      <c r="A143" s="881"/>
      <c r="B143" s="895"/>
      <c r="C143" s="935"/>
      <c r="D143" s="935"/>
      <c r="E143" s="936"/>
      <c r="F143" s="935"/>
      <c r="G143" s="935"/>
      <c r="H143" s="935"/>
      <c r="I143" s="937"/>
      <c r="J143" s="935"/>
      <c r="K143" s="895"/>
      <c r="L143" s="906"/>
      <c r="N143" s="438"/>
    </row>
    <row r="144" spans="1:14" ht="13.15" customHeight="1">
      <c r="A144" s="896" t="s">
        <v>34</v>
      </c>
      <c r="B144" s="938">
        <f>SUM(B138:B143)+B133+B90+B47</f>
        <v>5579563</v>
      </c>
      <c r="C144" s="897">
        <f t="shared" ref="C144:L144" si="3">SUM(C138:C143)+C133+C90+C47</f>
        <v>5082541640.9899998</v>
      </c>
      <c r="D144" s="939"/>
      <c r="E144" s="940">
        <f t="shared" si="3"/>
        <v>1345179</v>
      </c>
      <c r="F144" s="938">
        <f t="shared" si="3"/>
        <v>1064770</v>
      </c>
      <c r="G144" s="897">
        <f t="shared" si="3"/>
        <v>29762124378.199997</v>
      </c>
      <c r="H144" s="938">
        <f t="shared" si="3"/>
        <v>2409949</v>
      </c>
      <c r="I144" s="941"/>
      <c r="J144" s="938">
        <f t="shared" si="3"/>
        <v>1273123</v>
      </c>
      <c r="K144" s="938">
        <f t="shared" si="3"/>
        <v>1063063</v>
      </c>
      <c r="L144" s="938">
        <f t="shared" si="3"/>
        <v>73763</v>
      </c>
    </row>
    <row r="145" spans="1:13" ht="13.15" customHeight="1" thickBot="1">
      <c r="A145" s="899"/>
      <c r="B145" s="929"/>
      <c r="C145" s="929"/>
      <c r="D145" s="929"/>
      <c r="E145" s="929"/>
      <c r="F145" s="929"/>
      <c r="G145" s="929"/>
      <c r="H145" s="929"/>
      <c r="I145" s="929"/>
      <c r="J145" s="929"/>
      <c r="K145" s="929"/>
      <c r="L145" s="906"/>
    </row>
    <row r="146" spans="1:13">
      <c r="A146" s="907"/>
      <c r="B146" s="1028" t="s">
        <v>505</v>
      </c>
      <c r="C146" s="1028"/>
      <c r="D146" s="927"/>
      <c r="E146" s="1029" t="s">
        <v>506</v>
      </c>
      <c r="F146" s="1030"/>
      <c r="G146" s="1030"/>
      <c r="H146" s="1030"/>
      <c r="I146" s="909"/>
      <c r="J146" s="910"/>
      <c r="K146" s="911" t="s">
        <v>832</v>
      </c>
      <c r="L146" s="912"/>
      <c r="M146" s="431"/>
    </row>
    <row r="147" spans="1:13" ht="13.15" customHeight="1">
      <c r="A147" s="928"/>
      <c r="B147" s="929"/>
      <c r="C147" s="929"/>
      <c r="D147" s="929"/>
      <c r="E147" s="930"/>
      <c r="F147" s="929"/>
      <c r="G147" s="929"/>
      <c r="H147" s="931" t="s">
        <v>25</v>
      </c>
      <c r="I147" s="932"/>
      <c r="J147" s="931"/>
      <c r="K147" s="931" t="s">
        <v>492</v>
      </c>
      <c r="L147" s="928" t="s">
        <v>492</v>
      </c>
    </row>
    <row r="148" spans="1:13" ht="13.15" customHeight="1">
      <c r="A148" s="928" t="s">
        <v>35</v>
      </c>
      <c r="B148" s="919" t="s">
        <v>833</v>
      </c>
      <c r="C148" s="919" t="s">
        <v>30</v>
      </c>
      <c r="D148" s="919"/>
      <c r="E148" s="920" t="s">
        <v>502</v>
      </c>
      <c r="F148" s="919" t="s">
        <v>501</v>
      </c>
      <c r="G148" s="880" t="s">
        <v>30</v>
      </c>
      <c r="H148" s="919" t="s">
        <v>497</v>
      </c>
      <c r="I148" s="921"/>
      <c r="J148" s="919" t="s">
        <v>834</v>
      </c>
      <c r="K148" s="919" t="s">
        <v>494</v>
      </c>
      <c r="L148" s="880" t="s">
        <v>495</v>
      </c>
    </row>
    <row r="149" spans="1:13" ht="10.7" customHeight="1">
      <c r="A149" s="913"/>
      <c r="B149" s="942"/>
      <c r="C149" s="942"/>
      <c r="D149" s="942"/>
      <c r="E149" s="943"/>
      <c r="F149" s="942"/>
      <c r="G149" s="942"/>
      <c r="H149" s="942"/>
      <c r="I149" s="944"/>
      <c r="J149" s="942"/>
      <c r="K149" s="942"/>
      <c r="L149" s="942"/>
      <c r="M149" s="431"/>
    </row>
    <row r="150" spans="1:13" ht="13.15" customHeight="1">
      <c r="A150" s="881" t="s">
        <v>597</v>
      </c>
      <c r="B150" s="895">
        <v>148017</v>
      </c>
      <c r="C150" s="924">
        <v>133264543.01999998</v>
      </c>
      <c r="D150" s="924"/>
      <c r="E150" s="925">
        <v>41345</v>
      </c>
      <c r="F150" s="895">
        <v>39189</v>
      </c>
      <c r="G150" s="924">
        <v>1595731995.8799999</v>
      </c>
      <c r="H150" s="895">
        <v>80534</v>
      </c>
      <c r="I150" s="926"/>
      <c r="J150" s="895">
        <v>54991</v>
      </c>
      <c r="K150" s="895">
        <v>22086</v>
      </c>
      <c r="L150" s="906">
        <v>3457</v>
      </c>
    </row>
    <row r="151" spans="1:13" ht="13.15" customHeight="1">
      <c r="A151" s="887" t="s">
        <v>558</v>
      </c>
      <c r="B151" s="889">
        <v>6099</v>
      </c>
      <c r="C151" s="895">
        <v>5543268.5100000016</v>
      </c>
      <c r="D151" s="895"/>
      <c r="E151" s="925">
        <v>1967</v>
      </c>
      <c r="F151" s="895">
        <v>681</v>
      </c>
      <c r="G151" s="895">
        <v>19379005.699999999</v>
      </c>
      <c r="H151" s="895">
        <v>2648</v>
      </c>
      <c r="I151" s="926"/>
      <c r="J151" s="895">
        <v>1507</v>
      </c>
      <c r="K151" s="889">
        <v>1067</v>
      </c>
      <c r="L151" s="905">
        <v>74</v>
      </c>
    </row>
    <row r="152" spans="1:13" ht="13.15" customHeight="1">
      <c r="A152" s="887" t="s">
        <v>602</v>
      </c>
      <c r="B152" s="889">
        <v>25662</v>
      </c>
      <c r="C152" s="895">
        <v>23493991.219999995</v>
      </c>
      <c r="D152" s="895"/>
      <c r="E152" s="925">
        <v>9454</v>
      </c>
      <c r="F152" s="895">
        <v>2743</v>
      </c>
      <c r="G152" s="895">
        <v>87614487.599999994</v>
      </c>
      <c r="H152" s="895">
        <v>12197</v>
      </c>
      <c r="I152" s="926"/>
      <c r="J152" s="895">
        <v>6329</v>
      </c>
      <c r="K152" s="889">
        <v>3824</v>
      </c>
      <c r="L152" s="905">
        <v>2044</v>
      </c>
    </row>
    <row r="153" spans="1:13" ht="13.15" customHeight="1">
      <c r="A153" s="887" t="s">
        <v>605</v>
      </c>
      <c r="B153" s="889">
        <v>5957</v>
      </c>
      <c r="C153" s="895">
        <v>5442839.4299999997</v>
      </c>
      <c r="D153" s="895"/>
      <c r="E153" s="925">
        <v>2171</v>
      </c>
      <c r="F153" s="895">
        <v>524</v>
      </c>
      <c r="G153" s="895">
        <v>18417580.899999999</v>
      </c>
      <c r="H153" s="895">
        <v>2695</v>
      </c>
      <c r="I153" s="926"/>
      <c r="J153" s="895">
        <v>1511</v>
      </c>
      <c r="K153" s="889">
        <v>1128</v>
      </c>
      <c r="L153" s="905">
        <v>56</v>
      </c>
    </row>
    <row r="154" spans="1:13" ht="13.15" customHeight="1">
      <c r="A154" s="887" t="s">
        <v>608</v>
      </c>
      <c r="B154" s="889">
        <v>37614</v>
      </c>
      <c r="C154" s="895">
        <v>34113595.999999993</v>
      </c>
      <c r="D154" s="895"/>
      <c r="E154" s="925">
        <v>12883</v>
      </c>
      <c r="F154" s="895">
        <v>6385</v>
      </c>
      <c r="G154" s="895">
        <v>258389430.94</v>
      </c>
      <c r="H154" s="895">
        <v>19268</v>
      </c>
      <c r="I154" s="926"/>
      <c r="J154" s="895">
        <v>13067</v>
      </c>
      <c r="K154" s="889">
        <v>5477</v>
      </c>
      <c r="L154" s="905">
        <v>724</v>
      </c>
    </row>
    <row r="155" spans="1:13" ht="10.7" customHeight="1">
      <c r="A155" s="887"/>
      <c r="B155" s="889"/>
      <c r="C155" s="895"/>
      <c r="D155" s="895"/>
      <c r="E155" s="925"/>
      <c r="F155" s="895"/>
      <c r="G155" s="895"/>
      <c r="H155" s="895"/>
      <c r="I155" s="926"/>
      <c r="J155" s="895"/>
      <c r="K155" s="889"/>
      <c r="L155" s="905"/>
    </row>
    <row r="156" spans="1:13" ht="13.15" customHeight="1">
      <c r="A156" s="887" t="s">
        <v>611</v>
      </c>
      <c r="B156" s="889">
        <v>217188</v>
      </c>
      <c r="C156" s="895">
        <v>198317600.08000004</v>
      </c>
      <c r="D156" s="895"/>
      <c r="E156" s="925">
        <v>50659</v>
      </c>
      <c r="F156" s="895">
        <v>43286</v>
      </c>
      <c r="G156" s="895">
        <v>1028119460.54</v>
      </c>
      <c r="H156" s="895">
        <v>93945</v>
      </c>
      <c r="I156" s="926"/>
      <c r="J156" s="895">
        <v>50704</v>
      </c>
      <c r="K156" s="889">
        <v>38471</v>
      </c>
      <c r="L156" s="905">
        <v>4770</v>
      </c>
    </row>
    <row r="157" spans="1:13" ht="13.15" customHeight="1">
      <c r="A157" s="887" t="s">
        <v>614</v>
      </c>
      <c r="B157" s="889">
        <v>18284</v>
      </c>
      <c r="C157" s="895">
        <v>16591539.990000002</v>
      </c>
      <c r="D157" s="895"/>
      <c r="E157" s="925">
        <v>5244</v>
      </c>
      <c r="F157" s="895">
        <v>2794</v>
      </c>
      <c r="G157" s="895">
        <v>63498074.200000003</v>
      </c>
      <c r="H157" s="895">
        <v>8038</v>
      </c>
      <c r="I157" s="926"/>
      <c r="J157" s="895">
        <v>4747</v>
      </c>
      <c r="K157" s="889">
        <v>3084</v>
      </c>
      <c r="L157" s="905">
        <v>207</v>
      </c>
    </row>
    <row r="158" spans="1:13" ht="13.15" customHeight="1">
      <c r="A158" s="887" t="s">
        <v>617</v>
      </c>
      <c r="B158" s="889">
        <v>6048</v>
      </c>
      <c r="C158" s="895">
        <v>5524600.0000000009</v>
      </c>
      <c r="D158" s="895"/>
      <c r="E158" s="925">
        <v>2372</v>
      </c>
      <c r="F158" s="895">
        <v>366</v>
      </c>
      <c r="G158" s="895">
        <v>14238418.199999999</v>
      </c>
      <c r="H158" s="895">
        <v>2738</v>
      </c>
      <c r="I158" s="926"/>
      <c r="J158" s="895">
        <v>1639</v>
      </c>
      <c r="K158" s="889">
        <v>1045</v>
      </c>
      <c r="L158" s="905">
        <v>54</v>
      </c>
    </row>
    <row r="159" spans="1:13" ht="13.15" customHeight="1">
      <c r="A159" s="887" t="s">
        <v>620</v>
      </c>
      <c r="B159" s="889">
        <v>43622</v>
      </c>
      <c r="C159" s="895">
        <v>39904035.160000004</v>
      </c>
      <c r="D159" s="895"/>
      <c r="E159" s="925">
        <v>14965</v>
      </c>
      <c r="F159" s="895">
        <v>4500</v>
      </c>
      <c r="G159" s="895">
        <v>142784679</v>
      </c>
      <c r="H159" s="895">
        <v>19465</v>
      </c>
      <c r="I159" s="926"/>
      <c r="J159" s="895">
        <v>12574</v>
      </c>
      <c r="K159" s="889">
        <v>5839</v>
      </c>
      <c r="L159" s="905">
        <v>1052</v>
      </c>
    </row>
    <row r="160" spans="1:13" ht="13.15" customHeight="1">
      <c r="A160" s="887" t="s">
        <v>623</v>
      </c>
      <c r="B160" s="889">
        <v>6185</v>
      </c>
      <c r="C160" s="895">
        <v>5684221.3800000008</v>
      </c>
      <c r="D160" s="895"/>
      <c r="E160" s="925">
        <v>2042</v>
      </c>
      <c r="F160" s="895">
        <v>601</v>
      </c>
      <c r="G160" s="895">
        <v>17050749.799999997</v>
      </c>
      <c r="H160" s="895">
        <v>2643</v>
      </c>
      <c r="I160" s="926"/>
      <c r="J160" s="895">
        <v>1893</v>
      </c>
      <c r="K160" s="889">
        <v>598</v>
      </c>
      <c r="L160" s="905">
        <v>152</v>
      </c>
    </row>
    <row r="161" spans="1:13" ht="10.7" customHeight="1">
      <c r="A161" s="887"/>
      <c r="B161" s="889"/>
      <c r="C161" s="895"/>
      <c r="D161" s="895"/>
      <c r="E161" s="925"/>
      <c r="F161" s="895"/>
      <c r="G161" s="895"/>
      <c r="H161" s="895"/>
      <c r="I161" s="926"/>
      <c r="J161" s="895"/>
      <c r="K161" s="889"/>
      <c r="L161" s="905"/>
    </row>
    <row r="162" spans="1:13" ht="13.15" customHeight="1">
      <c r="A162" s="887" t="s">
        <v>618</v>
      </c>
      <c r="B162" s="889">
        <v>30652</v>
      </c>
      <c r="C162" s="895">
        <v>27801575.989999998</v>
      </c>
      <c r="D162" s="895"/>
      <c r="E162" s="925">
        <v>7331</v>
      </c>
      <c r="F162" s="895">
        <v>7166</v>
      </c>
      <c r="G162" s="895">
        <v>205568261.13999999</v>
      </c>
      <c r="H162" s="895">
        <v>14497</v>
      </c>
      <c r="I162" s="926"/>
      <c r="J162" s="895">
        <v>8394</v>
      </c>
      <c r="K162" s="889">
        <v>5479</v>
      </c>
      <c r="L162" s="905">
        <v>624</v>
      </c>
    </row>
    <row r="163" spans="1:13" ht="13.15" customHeight="1">
      <c r="A163" s="887" t="s">
        <v>628</v>
      </c>
      <c r="B163" s="889">
        <v>15921</v>
      </c>
      <c r="C163" s="895">
        <v>14446529.49</v>
      </c>
      <c r="D163" s="895"/>
      <c r="E163" s="925">
        <v>3198</v>
      </c>
      <c r="F163" s="895">
        <v>4025</v>
      </c>
      <c r="G163" s="895">
        <v>123509593.74000001</v>
      </c>
      <c r="H163" s="895">
        <v>7223</v>
      </c>
      <c r="I163" s="926"/>
      <c r="J163" s="895">
        <v>3933</v>
      </c>
      <c r="K163" s="889">
        <v>2956</v>
      </c>
      <c r="L163" s="905">
        <v>334</v>
      </c>
    </row>
    <row r="164" spans="1:13" ht="13.15" customHeight="1">
      <c r="A164" s="887" t="s">
        <v>36</v>
      </c>
      <c r="B164" s="889">
        <v>8213</v>
      </c>
      <c r="C164" s="895">
        <v>7503435.3100000005</v>
      </c>
      <c r="D164" s="895"/>
      <c r="E164" s="925">
        <v>2492</v>
      </c>
      <c r="F164" s="895">
        <v>1090</v>
      </c>
      <c r="G164" s="895">
        <v>26781118.899999999</v>
      </c>
      <c r="H164" s="895">
        <v>3582</v>
      </c>
      <c r="I164" s="926"/>
      <c r="J164" s="895">
        <v>2296</v>
      </c>
      <c r="K164" s="889">
        <v>1086</v>
      </c>
      <c r="L164" s="905">
        <v>200</v>
      </c>
    </row>
    <row r="165" spans="1:13" ht="13.15" customHeight="1">
      <c r="A165" s="887" t="s">
        <v>633</v>
      </c>
      <c r="B165" s="889">
        <v>24857</v>
      </c>
      <c r="C165" s="895">
        <v>22578885.450000003</v>
      </c>
      <c r="D165" s="895"/>
      <c r="E165" s="925">
        <v>7809</v>
      </c>
      <c r="F165" s="895">
        <v>3906</v>
      </c>
      <c r="G165" s="895">
        <v>119395368.40000001</v>
      </c>
      <c r="H165" s="895">
        <v>11715</v>
      </c>
      <c r="I165" s="926"/>
      <c r="J165" s="895">
        <v>7760</v>
      </c>
      <c r="K165" s="889">
        <v>3467</v>
      </c>
      <c r="L165" s="905">
        <v>488</v>
      </c>
    </row>
    <row r="166" spans="1:13" ht="13.15" customHeight="1">
      <c r="A166" s="887" t="s">
        <v>636</v>
      </c>
      <c r="B166" s="889">
        <v>7876</v>
      </c>
      <c r="C166" s="895">
        <v>7206858.9100000011</v>
      </c>
      <c r="D166" s="895"/>
      <c r="E166" s="925">
        <v>2618</v>
      </c>
      <c r="F166" s="895">
        <v>618</v>
      </c>
      <c r="G166" s="895">
        <v>21692800.299999997</v>
      </c>
      <c r="H166" s="895">
        <v>3236</v>
      </c>
      <c r="I166" s="926"/>
      <c r="J166" s="895">
        <v>1849</v>
      </c>
      <c r="K166" s="889">
        <v>1258</v>
      </c>
      <c r="L166" s="905">
        <v>129</v>
      </c>
    </row>
    <row r="167" spans="1:13" ht="10.7" customHeight="1">
      <c r="A167" s="887"/>
      <c r="B167" s="889"/>
      <c r="C167" s="895"/>
      <c r="D167" s="895"/>
      <c r="E167" s="925"/>
      <c r="F167" s="895"/>
      <c r="G167" s="895"/>
      <c r="H167" s="895"/>
      <c r="I167" s="926"/>
      <c r="J167" s="895"/>
      <c r="K167" s="889"/>
      <c r="L167" s="905"/>
    </row>
    <row r="168" spans="1:13" ht="13.15" customHeight="1">
      <c r="A168" s="887" t="s">
        <v>638</v>
      </c>
      <c r="B168" s="889">
        <v>116084</v>
      </c>
      <c r="C168" s="895">
        <v>105813172.22000003</v>
      </c>
      <c r="D168" s="895"/>
      <c r="E168" s="925">
        <v>33837</v>
      </c>
      <c r="F168" s="895">
        <v>19703</v>
      </c>
      <c r="G168" s="895">
        <v>460778798</v>
      </c>
      <c r="H168" s="895">
        <v>53540</v>
      </c>
      <c r="I168" s="926"/>
      <c r="J168" s="895">
        <v>33555</v>
      </c>
      <c r="K168" s="889">
        <v>17621</v>
      </c>
      <c r="L168" s="905">
        <v>2364</v>
      </c>
    </row>
    <row r="169" spans="1:13" ht="13.15" customHeight="1">
      <c r="A169" s="887" t="s">
        <v>640</v>
      </c>
      <c r="B169" s="889">
        <v>32061</v>
      </c>
      <c r="C169" s="895">
        <v>29206073.049999997</v>
      </c>
      <c r="D169" s="895"/>
      <c r="E169" s="925">
        <v>10422</v>
      </c>
      <c r="F169" s="895">
        <v>4360</v>
      </c>
      <c r="G169" s="895">
        <v>109178746.5</v>
      </c>
      <c r="H169" s="895">
        <v>14782</v>
      </c>
      <c r="I169" s="926"/>
      <c r="J169" s="895">
        <v>9793</v>
      </c>
      <c r="K169" s="889">
        <v>4692</v>
      </c>
      <c r="L169" s="905">
        <v>297</v>
      </c>
    </row>
    <row r="170" spans="1:13" ht="13.15" customHeight="1">
      <c r="A170" s="887" t="s">
        <v>643</v>
      </c>
      <c r="B170" s="889">
        <v>21052</v>
      </c>
      <c r="C170" s="895">
        <v>19242445.040000003</v>
      </c>
      <c r="D170" s="895"/>
      <c r="E170" s="925">
        <v>6792</v>
      </c>
      <c r="F170" s="895">
        <v>2510</v>
      </c>
      <c r="G170" s="895">
        <v>62173885.620000005</v>
      </c>
      <c r="H170" s="895">
        <v>9302</v>
      </c>
      <c r="I170" s="926"/>
      <c r="J170" s="895">
        <v>6187</v>
      </c>
      <c r="K170" s="889">
        <v>2775</v>
      </c>
      <c r="L170" s="905">
        <v>340</v>
      </c>
    </row>
    <row r="171" spans="1:13" ht="13.15" customHeight="1">
      <c r="A171" s="881" t="s">
        <v>646</v>
      </c>
      <c r="B171" s="895">
        <v>5322</v>
      </c>
      <c r="C171" s="895">
        <v>4769372.1000000006</v>
      </c>
      <c r="D171" s="895"/>
      <c r="E171" s="925">
        <v>1503</v>
      </c>
      <c r="F171" s="895">
        <v>890</v>
      </c>
      <c r="G171" s="895">
        <v>23059783.800000001</v>
      </c>
      <c r="H171" s="895">
        <v>2393</v>
      </c>
      <c r="I171" s="926"/>
      <c r="J171" s="895">
        <v>1427</v>
      </c>
      <c r="K171" s="895">
        <v>903</v>
      </c>
      <c r="L171" s="906">
        <v>63</v>
      </c>
    </row>
    <row r="172" spans="1:13" ht="13.15" customHeight="1">
      <c r="A172" s="881" t="s">
        <v>649</v>
      </c>
      <c r="B172" s="895">
        <v>63252</v>
      </c>
      <c r="C172" s="895">
        <v>57483895.280000009</v>
      </c>
      <c r="D172" s="924"/>
      <c r="E172" s="925">
        <v>20756</v>
      </c>
      <c r="F172" s="895">
        <v>8336</v>
      </c>
      <c r="G172" s="895">
        <v>232933775.71000001</v>
      </c>
      <c r="H172" s="895">
        <v>29092</v>
      </c>
      <c r="I172" s="926"/>
      <c r="J172" s="895">
        <v>18342</v>
      </c>
      <c r="K172" s="895">
        <v>10034</v>
      </c>
      <c r="L172" s="906">
        <v>716</v>
      </c>
      <c r="M172" s="431"/>
    </row>
    <row r="173" spans="1:13" ht="18">
      <c r="A173" s="407" t="s">
        <v>835</v>
      </c>
      <c r="B173" s="906"/>
      <c r="C173" s="906"/>
      <c r="D173" s="906"/>
      <c r="E173" s="906"/>
      <c r="F173" s="906"/>
      <c r="G173" s="906"/>
      <c r="H173" s="906"/>
      <c r="I173" s="906"/>
      <c r="J173" s="906"/>
      <c r="K173" s="906"/>
      <c r="L173" s="906"/>
      <c r="M173" s="431"/>
    </row>
    <row r="174" spans="1:13" ht="15.75">
      <c r="A174" s="434" t="s">
        <v>831</v>
      </c>
      <c r="B174" s="906"/>
      <c r="C174" s="906"/>
      <c r="D174" s="906"/>
      <c r="E174" s="906"/>
      <c r="F174" s="906"/>
      <c r="G174" s="906"/>
      <c r="H174" s="906"/>
      <c r="I174" s="906"/>
      <c r="J174" s="906"/>
      <c r="K174" s="906"/>
      <c r="L174" s="906"/>
    </row>
    <row r="175" spans="1:13" ht="15.75">
      <c r="A175" s="430" t="str">
        <f>A132</f>
        <v>Taxable Year 2010</v>
      </c>
      <c r="B175" s="906"/>
      <c r="C175" s="906"/>
      <c r="D175" s="906"/>
      <c r="E175" s="906"/>
      <c r="F175" s="906"/>
      <c r="G175" s="906"/>
      <c r="H175" s="906"/>
      <c r="I175" s="906"/>
      <c r="J175" s="906"/>
      <c r="K175" s="906"/>
      <c r="L175" s="906"/>
    </row>
    <row r="176" spans="1:13" ht="13.15" customHeight="1" thickBot="1">
      <c r="A176" s="431"/>
      <c r="B176" s="435">
        <f>SUM(B150:B172)</f>
        <v>839966</v>
      </c>
      <c r="C176" s="435">
        <f t="shared" ref="C176:L176" si="4">SUM(C150:C172)</f>
        <v>763932477.63</v>
      </c>
      <c r="D176" s="435">
        <f t="shared" si="4"/>
        <v>0</v>
      </c>
      <c r="E176" s="435">
        <f t="shared" si="4"/>
        <v>239860</v>
      </c>
      <c r="F176" s="435">
        <f t="shared" si="4"/>
        <v>153673</v>
      </c>
      <c r="G176" s="435">
        <f t="shared" si="4"/>
        <v>4630296014.8699999</v>
      </c>
      <c r="H176" s="435">
        <f t="shared" si="4"/>
        <v>393533</v>
      </c>
      <c r="I176" s="435">
        <f t="shared" si="4"/>
        <v>0</v>
      </c>
      <c r="J176" s="435">
        <f t="shared" si="4"/>
        <v>242498</v>
      </c>
      <c r="K176" s="435">
        <f t="shared" si="4"/>
        <v>132890</v>
      </c>
      <c r="L176" s="435">
        <f t="shared" si="4"/>
        <v>18145</v>
      </c>
    </row>
    <row r="177" spans="1:13">
      <c r="A177" s="907"/>
      <c r="B177" s="1028" t="s">
        <v>505</v>
      </c>
      <c r="C177" s="1028"/>
      <c r="D177" s="927"/>
      <c r="E177" s="1029" t="s">
        <v>506</v>
      </c>
      <c r="F177" s="1030"/>
      <c r="G177" s="1030"/>
      <c r="H177" s="1030"/>
      <c r="I177" s="909"/>
      <c r="J177" s="910"/>
      <c r="K177" s="911" t="s">
        <v>832</v>
      </c>
      <c r="L177" s="912"/>
      <c r="M177" s="431"/>
    </row>
    <row r="178" spans="1:13" ht="13.15" customHeight="1">
      <c r="A178" s="928"/>
      <c r="B178" s="929"/>
      <c r="C178" s="929"/>
      <c r="D178" s="929"/>
      <c r="E178" s="930"/>
      <c r="F178" s="929"/>
      <c r="G178" s="929"/>
      <c r="H178" s="931" t="s">
        <v>25</v>
      </c>
      <c r="I178" s="932"/>
      <c r="J178" s="931"/>
      <c r="K178" s="931" t="s">
        <v>492</v>
      </c>
      <c r="L178" s="928" t="s">
        <v>492</v>
      </c>
    </row>
    <row r="179" spans="1:13" ht="13.15" customHeight="1">
      <c r="A179" s="880" t="s">
        <v>35</v>
      </c>
      <c r="B179" s="919" t="s">
        <v>833</v>
      </c>
      <c r="C179" s="919" t="s">
        <v>30</v>
      </c>
      <c r="D179" s="919"/>
      <c r="E179" s="920" t="s">
        <v>502</v>
      </c>
      <c r="F179" s="919" t="s">
        <v>501</v>
      </c>
      <c r="G179" s="880" t="s">
        <v>30</v>
      </c>
      <c r="H179" s="919" t="s">
        <v>497</v>
      </c>
      <c r="I179" s="921"/>
      <c r="J179" s="919" t="s">
        <v>834</v>
      </c>
      <c r="K179" s="919" t="s">
        <v>494</v>
      </c>
      <c r="L179" s="880" t="s">
        <v>495</v>
      </c>
    </row>
    <row r="180" spans="1:13" ht="10.7" customHeight="1">
      <c r="A180" s="881"/>
      <c r="B180" s="906"/>
      <c r="C180" s="906"/>
      <c r="D180" s="906"/>
      <c r="E180" s="922"/>
      <c r="F180" s="906"/>
      <c r="G180" s="906"/>
      <c r="H180" s="906"/>
      <c r="I180" s="923"/>
      <c r="J180" s="906"/>
      <c r="K180" s="906"/>
      <c r="L180" s="905"/>
    </row>
    <row r="181" spans="1:13" ht="13.15" customHeight="1">
      <c r="A181" s="887" t="s">
        <v>525</v>
      </c>
      <c r="B181" s="889">
        <v>40301</v>
      </c>
      <c r="C181" s="924">
        <v>37004519.200000003</v>
      </c>
      <c r="D181" s="895"/>
      <c r="E181" s="925">
        <v>9562</v>
      </c>
      <c r="F181" s="895">
        <v>7788</v>
      </c>
      <c r="G181" s="924">
        <v>191684237.02000001</v>
      </c>
      <c r="H181" s="895">
        <v>17350</v>
      </c>
      <c r="I181" s="926"/>
      <c r="J181" s="895">
        <v>10527</v>
      </c>
      <c r="K181" s="889">
        <v>6315</v>
      </c>
      <c r="L181" s="905">
        <v>508</v>
      </c>
    </row>
    <row r="182" spans="1:13" ht="13.15" customHeight="1">
      <c r="A182" s="887" t="s">
        <v>529</v>
      </c>
      <c r="B182" s="889">
        <v>14661</v>
      </c>
      <c r="C182" s="895">
        <v>13456274.399999999</v>
      </c>
      <c r="D182" s="895"/>
      <c r="E182" s="925">
        <v>3638</v>
      </c>
      <c r="F182" s="895">
        <v>2880</v>
      </c>
      <c r="G182" s="895">
        <v>65635331</v>
      </c>
      <c r="H182" s="895">
        <v>6518</v>
      </c>
      <c r="I182" s="926"/>
      <c r="J182" s="895">
        <v>4038</v>
      </c>
      <c r="K182" s="889">
        <v>2280</v>
      </c>
      <c r="L182" s="905">
        <v>200</v>
      </c>
    </row>
    <row r="183" spans="1:13" ht="13.15" customHeight="1">
      <c r="A183" s="887" t="s">
        <v>533</v>
      </c>
      <c r="B183" s="889">
        <v>14359</v>
      </c>
      <c r="C183" s="895">
        <v>13117778.470000001</v>
      </c>
      <c r="D183" s="895"/>
      <c r="E183" s="925">
        <v>4937</v>
      </c>
      <c r="F183" s="895">
        <v>1445</v>
      </c>
      <c r="G183" s="895">
        <v>46596308.299999997</v>
      </c>
      <c r="H183" s="895">
        <v>6382</v>
      </c>
      <c r="I183" s="926"/>
      <c r="J183" s="895">
        <v>4119</v>
      </c>
      <c r="K183" s="889">
        <v>1953</v>
      </c>
      <c r="L183" s="905">
        <v>310</v>
      </c>
    </row>
    <row r="184" spans="1:13" ht="13.15" customHeight="1">
      <c r="A184" s="887" t="s">
        <v>537</v>
      </c>
      <c r="B184" s="889">
        <v>156584</v>
      </c>
      <c r="C184" s="895">
        <v>142913294.35000002</v>
      </c>
      <c r="D184" s="895"/>
      <c r="E184" s="925">
        <v>47842</v>
      </c>
      <c r="F184" s="895">
        <v>24515</v>
      </c>
      <c r="G184" s="895">
        <v>582828353.37999988</v>
      </c>
      <c r="H184" s="895">
        <v>72357</v>
      </c>
      <c r="I184" s="926"/>
      <c r="J184" s="895">
        <v>46489</v>
      </c>
      <c r="K184" s="889">
        <v>22590</v>
      </c>
      <c r="L184" s="905">
        <v>3278</v>
      </c>
    </row>
    <row r="185" spans="1:13" ht="13.15" customHeight="1">
      <c r="A185" s="887" t="s">
        <v>541</v>
      </c>
      <c r="B185" s="889">
        <v>177991</v>
      </c>
      <c r="C185" s="895">
        <v>162472728.31999993</v>
      </c>
      <c r="D185" s="895"/>
      <c r="E185" s="925">
        <v>58503</v>
      </c>
      <c r="F185" s="895">
        <v>26546</v>
      </c>
      <c r="G185" s="895">
        <v>728600205.12999988</v>
      </c>
      <c r="H185" s="895">
        <v>85049</v>
      </c>
      <c r="I185" s="926"/>
      <c r="J185" s="895">
        <v>58451</v>
      </c>
      <c r="K185" s="889">
        <v>22578</v>
      </c>
      <c r="L185" s="905">
        <v>4020</v>
      </c>
    </row>
    <row r="186" spans="1:13" ht="10.7" customHeight="1">
      <c r="A186" s="887"/>
      <c r="B186" s="889"/>
      <c r="C186" s="895"/>
      <c r="D186" s="895"/>
      <c r="E186" s="925"/>
      <c r="F186" s="895"/>
      <c r="G186" s="895"/>
      <c r="H186" s="895"/>
      <c r="I186" s="926"/>
      <c r="J186" s="895"/>
      <c r="K186" s="889"/>
      <c r="L186" s="905"/>
    </row>
    <row r="187" spans="1:13" ht="13.15" customHeight="1">
      <c r="A187" s="887" t="s">
        <v>545</v>
      </c>
      <c r="B187" s="889">
        <v>4957</v>
      </c>
      <c r="C187" s="895">
        <v>4543499.6800000006</v>
      </c>
      <c r="D187" s="895"/>
      <c r="E187" s="925">
        <v>1946</v>
      </c>
      <c r="F187" s="895">
        <v>337</v>
      </c>
      <c r="G187" s="895">
        <v>12847057.5</v>
      </c>
      <c r="H187" s="895">
        <v>2283</v>
      </c>
      <c r="I187" s="926"/>
      <c r="J187" s="895">
        <v>1305</v>
      </c>
      <c r="K187" s="889">
        <v>896</v>
      </c>
      <c r="L187" s="905">
        <v>82</v>
      </c>
    </row>
    <row r="188" spans="1:13" ht="13.15" customHeight="1">
      <c r="A188" s="887" t="s">
        <v>549</v>
      </c>
      <c r="B188" s="889">
        <v>29241</v>
      </c>
      <c r="C188" s="895">
        <v>26734979.029999997</v>
      </c>
      <c r="D188" s="895"/>
      <c r="E188" s="925">
        <v>10247</v>
      </c>
      <c r="F188" s="895">
        <v>3540</v>
      </c>
      <c r="G188" s="895">
        <v>100332253.91</v>
      </c>
      <c r="H188" s="895">
        <v>13787</v>
      </c>
      <c r="I188" s="926"/>
      <c r="J188" s="895">
        <v>10693</v>
      </c>
      <c r="K188" s="889">
        <v>2649</v>
      </c>
      <c r="L188" s="905">
        <v>445</v>
      </c>
    </row>
    <row r="189" spans="1:13" ht="13.15" customHeight="1">
      <c r="A189" s="887" t="s">
        <v>553</v>
      </c>
      <c r="B189" s="889">
        <v>12970</v>
      </c>
      <c r="C189" s="895">
        <v>11784220.179999998</v>
      </c>
      <c r="D189" s="895"/>
      <c r="E189" s="925">
        <v>2631</v>
      </c>
      <c r="F189" s="895">
        <v>2630</v>
      </c>
      <c r="G189" s="895">
        <v>62668150.090000004</v>
      </c>
      <c r="H189" s="895">
        <v>5261</v>
      </c>
      <c r="I189" s="926"/>
      <c r="J189" s="895">
        <v>2369</v>
      </c>
      <c r="K189" s="889">
        <v>2741</v>
      </c>
      <c r="L189" s="905">
        <v>151</v>
      </c>
    </row>
    <row r="190" spans="1:13" ht="13.15" customHeight="1">
      <c r="A190" s="887" t="s">
        <v>557</v>
      </c>
      <c r="B190" s="889">
        <v>85534</v>
      </c>
      <c r="C190" s="895">
        <v>78199082.800000012</v>
      </c>
      <c r="D190" s="895"/>
      <c r="E190" s="925">
        <v>25448</v>
      </c>
      <c r="F190" s="895">
        <v>13910</v>
      </c>
      <c r="G190" s="895">
        <v>311505502.62</v>
      </c>
      <c r="H190" s="895">
        <v>39358</v>
      </c>
      <c r="I190" s="926"/>
      <c r="J190" s="895">
        <v>26456</v>
      </c>
      <c r="K190" s="889">
        <v>11166</v>
      </c>
      <c r="L190" s="905">
        <v>1736</v>
      </c>
    </row>
    <row r="191" spans="1:13" ht="13.15" customHeight="1">
      <c r="A191" s="887" t="s">
        <v>561</v>
      </c>
      <c r="B191" s="889">
        <v>10036</v>
      </c>
      <c r="C191" s="895">
        <v>9133367.7199999988</v>
      </c>
      <c r="D191" s="895"/>
      <c r="E191" s="925">
        <v>3538</v>
      </c>
      <c r="F191" s="895">
        <v>1273</v>
      </c>
      <c r="G191" s="895">
        <v>37803272.709999993</v>
      </c>
      <c r="H191" s="895">
        <v>4811</v>
      </c>
      <c r="I191" s="926"/>
      <c r="J191" s="895">
        <v>2953</v>
      </c>
      <c r="K191" s="889">
        <v>1741</v>
      </c>
      <c r="L191" s="905">
        <v>117</v>
      </c>
    </row>
    <row r="192" spans="1:13" ht="10.7" customHeight="1">
      <c r="A192" s="887"/>
      <c r="B192" s="889"/>
      <c r="C192" s="895"/>
      <c r="D192" s="895"/>
      <c r="E192" s="925"/>
      <c r="F192" s="895"/>
      <c r="G192" s="895"/>
      <c r="H192" s="895"/>
      <c r="I192" s="926"/>
      <c r="J192" s="895"/>
      <c r="K192" s="889"/>
      <c r="L192" s="905"/>
    </row>
    <row r="193" spans="1:13" ht="13.15" customHeight="1">
      <c r="A193" s="887" t="s">
        <v>565</v>
      </c>
      <c r="B193" s="889">
        <v>172637</v>
      </c>
      <c r="C193" s="895">
        <v>157744664.03999999</v>
      </c>
      <c r="D193" s="895"/>
      <c r="E193" s="925">
        <v>57322</v>
      </c>
      <c r="F193" s="895">
        <v>29727</v>
      </c>
      <c r="G193" s="895">
        <v>1350608412.72</v>
      </c>
      <c r="H193" s="895">
        <v>87049</v>
      </c>
      <c r="I193" s="926"/>
      <c r="J193" s="895">
        <v>64613</v>
      </c>
      <c r="K193" s="889">
        <v>19387</v>
      </c>
      <c r="L193" s="905">
        <v>3049</v>
      </c>
    </row>
    <row r="194" spans="1:13" ht="13.15" customHeight="1">
      <c r="A194" s="887" t="s">
        <v>37</v>
      </c>
      <c r="B194" s="889">
        <v>90212</v>
      </c>
      <c r="C194" s="895">
        <v>82400972.469999999</v>
      </c>
      <c r="D194" s="895"/>
      <c r="E194" s="925">
        <v>30403</v>
      </c>
      <c r="F194" s="895">
        <v>12053</v>
      </c>
      <c r="G194" s="895">
        <v>334353309.39999998</v>
      </c>
      <c r="H194" s="895">
        <v>42456</v>
      </c>
      <c r="I194" s="926"/>
      <c r="J194" s="895">
        <v>28737</v>
      </c>
      <c r="K194" s="889">
        <v>12614</v>
      </c>
      <c r="L194" s="905">
        <v>1105</v>
      </c>
    </row>
    <row r="195" spans="1:13" ht="13.15" customHeight="1">
      <c r="A195" s="887" t="s">
        <v>573</v>
      </c>
      <c r="B195" s="889">
        <v>25432</v>
      </c>
      <c r="C195" s="895">
        <v>23138605.879999999</v>
      </c>
      <c r="D195" s="895"/>
      <c r="E195" s="925">
        <v>7139</v>
      </c>
      <c r="F195" s="895">
        <v>4010</v>
      </c>
      <c r="G195" s="895">
        <v>95882733.299999997</v>
      </c>
      <c r="H195" s="895">
        <v>11149</v>
      </c>
      <c r="I195" s="926"/>
      <c r="J195" s="895">
        <v>6163</v>
      </c>
      <c r="K195" s="889">
        <v>4731</v>
      </c>
      <c r="L195" s="905">
        <v>255</v>
      </c>
    </row>
    <row r="196" spans="1:13" ht="13.15" customHeight="1">
      <c r="A196" s="887" t="s">
        <v>577</v>
      </c>
      <c r="B196" s="889">
        <v>23043</v>
      </c>
      <c r="C196" s="895">
        <v>20924095.330000006</v>
      </c>
      <c r="D196" s="895"/>
      <c r="E196" s="925">
        <v>7301</v>
      </c>
      <c r="F196" s="895">
        <v>3238</v>
      </c>
      <c r="G196" s="895">
        <v>79316307.799999997</v>
      </c>
      <c r="H196" s="895">
        <v>10539</v>
      </c>
      <c r="I196" s="926"/>
      <c r="J196" s="895">
        <v>6233</v>
      </c>
      <c r="K196" s="889">
        <v>4070</v>
      </c>
      <c r="L196" s="905">
        <v>236</v>
      </c>
    </row>
    <row r="197" spans="1:13" ht="13.15" customHeight="1">
      <c r="A197" s="887" t="s">
        <v>581</v>
      </c>
      <c r="B197" s="889">
        <v>79088</v>
      </c>
      <c r="C197" s="895">
        <v>72264348.719999999</v>
      </c>
      <c r="D197" s="895"/>
      <c r="E197" s="925">
        <v>18585</v>
      </c>
      <c r="F197" s="895">
        <v>15445</v>
      </c>
      <c r="G197" s="895">
        <v>379626984.33999997</v>
      </c>
      <c r="H197" s="895">
        <v>34030</v>
      </c>
      <c r="I197" s="926"/>
      <c r="J197" s="895">
        <v>18542</v>
      </c>
      <c r="K197" s="889">
        <v>13703</v>
      </c>
      <c r="L197" s="905">
        <v>1785</v>
      </c>
    </row>
    <row r="198" spans="1:13" ht="10.7" customHeight="1">
      <c r="A198" s="887"/>
      <c r="B198" s="889"/>
      <c r="C198" s="895"/>
      <c r="D198" s="895"/>
      <c r="E198" s="925"/>
      <c r="F198" s="895"/>
      <c r="G198" s="895"/>
      <c r="H198" s="895"/>
      <c r="I198" s="926"/>
      <c r="J198" s="895"/>
      <c r="K198" s="889"/>
      <c r="L198" s="905"/>
    </row>
    <row r="199" spans="1:13" ht="13.15" customHeight="1">
      <c r="A199" s="887" t="s">
        <v>38</v>
      </c>
      <c r="B199" s="889">
        <v>401700</v>
      </c>
      <c r="C199" s="895">
        <v>365571838.78000015</v>
      </c>
      <c r="D199" s="895"/>
      <c r="E199" s="925">
        <v>104249</v>
      </c>
      <c r="F199" s="895">
        <v>79878</v>
      </c>
      <c r="G199" s="895">
        <v>1989525284.0299997</v>
      </c>
      <c r="H199" s="895">
        <v>184127</v>
      </c>
      <c r="I199" s="926"/>
      <c r="J199" s="895">
        <v>104842</v>
      </c>
      <c r="K199" s="889">
        <v>69994</v>
      </c>
      <c r="L199" s="905">
        <v>9291</v>
      </c>
    </row>
    <row r="200" spans="1:13" ht="13.15" customHeight="1">
      <c r="A200" s="887" t="s">
        <v>586</v>
      </c>
      <c r="B200" s="889">
        <v>20904</v>
      </c>
      <c r="C200" s="895">
        <v>19035451.160000004</v>
      </c>
      <c r="D200" s="895"/>
      <c r="E200" s="925">
        <v>6462</v>
      </c>
      <c r="F200" s="895">
        <v>2607</v>
      </c>
      <c r="G200" s="895">
        <v>64286237.119999997</v>
      </c>
      <c r="H200" s="895">
        <v>9069</v>
      </c>
      <c r="I200" s="926"/>
      <c r="J200" s="895">
        <v>5389</v>
      </c>
      <c r="K200" s="889">
        <v>3493</v>
      </c>
      <c r="L200" s="905">
        <v>187</v>
      </c>
    </row>
    <row r="201" spans="1:13" ht="13.15" customHeight="1">
      <c r="A201" s="881" t="s">
        <v>589</v>
      </c>
      <c r="B201" s="895">
        <v>13172</v>
      </c>
      <c r="C201" s="895">
        <v>11817264.659999996</v>
      </c>
      <c r="D201" s="895"/>
      <c r="E201" s="925">
        <v>4048</v>
      </c>
      <c r="F201" s="895">
        <v>2307</v>
      </c>
      <c r="G201" s="895">
        <v>73714177.939999998</v>
      </c>
      <c r="H201" s="895">
        <v>6355</v>
      </c>
      <c r="I201" s="926"/>
      <c r="J201" s="895">
        <v>3939</v>
      </c>
      <c r="K201" s="895">
        <v>2129</v>
      </c>
      <c r="L201" s="906">
        <v>287</v>
      </c>
    </row>
    <row r="202" spans="1:13" ht="13.15" customHeight="1">
      <c r="A202" s="881" t="s">
        <v>592</v>
      </c>
      <c r="B202" s="895">
        <v>26607</v>
      </c>
      <c r="C202" s="895">
        <v>24157897.789999999</v>
      </c>
      <c r="D202" s="895"/>
      <c r="E202" s="925">
        <v>8293</v>
      </c>
      <c r="F202" s="895">
        <v>3833</v>
      </c>
      <c r="G202" s="895">
        <v>105805284.5</v>
      </c>
      <c r="H202" s="895">
        <v>12126</v>
      </c>
      <c r="I202" s="926"/>
      <c r="J202" s="895">
        <v>7767</v>
      </c>
      <c r="K202" s="895">
        <v>3966</v>
      </c>
      <c r="L202" s="906">
        <v>393</v>
      </c>
      <c r="M202" s="431"/>
    </row>
    <row r="203" spans="1:13" ht="10.7" customHeight="1">
      <c r="A203" s="945"/>
      <c r="B203" s="946"/>
      <c r="C203" s="946"/>
      <c r="D203" s="947"/>
      <c r="E203" s="948"/>
      <c r="F203" s="946"/>
      <c r="G203" s="946"/>
      <c r="H203" s="946"/>
      <c r="I203" s="947"/>
      <c r="J203" s="946"/>
      <c r="K203" s="946"/>
      <c r="L203" s="949"/>
      <c r="M203" s="431"/>
    </row>
    <row r="204" spans="1:13" ht="15" customHeight="1">
      <c r="A204" s="899" t="s">
        <v>39</v>
      </c>
      <c r="B204" s="950">
        <f>SUM(B181:B202)+B176</f>
        <v>2239395</v>
      </c>
      <c r="C204" s="897">
        <f t="shared" ref="C204:L204" si="5">SUM(C181:C202)+C176</f>
        <v>2040347360.6100001</v>
      </c>
      <c r="D204" s="951"/>
      <c r="E204" s="940">
        <f t="shared" si="5"/>
        <v>651954</v>
      </c>
      <c r="F204" s="938">
        <f t="shared" si="5"/>
        <v>391635</v>
      </c>
      <c r="G204" s="897">
        <f t="shared" si="5"/>
        <v>11243915417.68</v>
      </c>
      <c r="H204" s="938">
        <f t="shared" si="5"/>
        <v>1043589</v>
      </c>
      <c r="I204" s="941"/>
      <c r="J204" s="938">
        <f>SUM(J181:J202)+J176</f>
        <v>656123</v>
      </c>
      <c r="K204" s="938">
        <f t="shared" si="5"/>
        <v>341886</v>
      </c>
      <c r="L204" s="938">
        <f t="shared" si="5"/>
        <v>45580</v>
      </c>
    </row>
    <row r="205" spans="1:13" ht="15" customHeight="1">
      <c r="A205" s="896" t="s">
        <v>34</v>
      </c>
      <c r="B205" s="938">
        <f>B144</f>
        <v>5579563</v>
      </c>
      <c r="C205" s="952">
        <f>C144</f>
        <v>5082541640.9899998</v>
      </c>
      <c r="D205" s="939"/>
      <c r="E205" s="940">
        <f t="shared" ref="E205:L205" si="6">E144</f>
        <v>1345179</v>
      </c>
      <c r="F205" s="938">
        <f t="shared" si="6"/>
        <v>1064770</v>
      </c>
      <c r="G205" s="897">
        <f t="shared" si="6"/>
        <v>29762124378.199997</v>
      </c>
      <c r="H205" s="938">
        <f t="shared" si="6"/>
        <v>2409949</v>
      </c>
      <c r="I205" s="941"/>
      <c r="J205" s="938">
        <f t="shared" si="6"/>
        <v>1273123</v>
      </c>
      <c r="K205" s="938">
        <f t="shared" si="6"/>
        <v>1063063</v>
      </c>
      <c r="L205" s="938">
        <f t="shared" si="6"/>
        <v>73763</v>
      </c>
    </row>
    <row r="206" spans="1:13" ht="15" customHeight="1">
      <c r="A206" s="896" t="s">
        <v>828</v>
      </c>
      <c r="B206" s="938">
        <v>288001</v>
      </c>
      <c r="C206" s="952">
        <v>202239738.45999998</v>
      </c>
      <c r="D206" s="939"/>
      <c r="E206" s="940">
        <v>77051</v>
      </c>
      <c r="F206" s="938">
        <v>58088</v>
      </c>
      <c r="G206" s="897">
        <v>7542591232.9800072</v>
      </c>
      <c r="H206" s="938">
        <v>135139</v>
      </c>
      <c r="I206" s="941"/>
      <c r="J206" s="938">
        <v>70274</v>
      </c>
      <c r="K206" s="938">
        <v>46102</v>
      </c>
      <c r="L206" s="953">
        <v>18763</v>
      </c>
    </row>
    <row r="207" spans="1:13" ht="13.15" customHeight="1">
      <c r="A207" s="899"/>
      <c r="B207" s="950"/>
      <c r="C207" s="897"/>
      <c r="D207" s="951"/>
      <c r="E207" s="954"/>
      <c r="F207" s="950"/>
      <c r="G207" s="955"/>
      <c r="H207" s="938"/>
      <c r="I207" s="956"/>
      <c r="J207" s="950"/>
      <c r="K207" s="950"/>
      <c r="L207" s="906"/>
    </row>
    <row r="208" spans="1:13" ht="15" customHeight="1">
      <c r="A208" s="896" t="s">
        <v>40</v>
      </c>
      <c r="B208" s="938">
        <f>SUM(B204:B206)</f>
        <v>8106959</v>
      </c>
      <c r="C208" s="897">
        <f>SUM(C204:C206)</f>
        <v>7325128740.0600004</v>
      </c>
      <c r="D208" s="939"/>
      <c r="E208" s="938">
        <f>SUM(E204:E206)</f>
        <v>2074184</v>
      </c>
      <c r="F208" s="938">
        <f>SUM(F204:F206)</f>
        <v>1514493</v>
      </c>
      <c r="G208" s="897">
        <f>SUM(G204:G206)</f>
        <v>48548631028.860001</v>
      </c>
      <c r="H208" s="938">
        <f>SUM(H204:H206)</f>
        <v>3588677</v>
      </c>
      <c r="I208" s="941"/>
      <c r="J208" s="938">
        <f>SUM(J204:J206)</f>
        <v>1999520</v>
      </c>
      <c r="K208" s="938">
        <f>SUM(K204:K206)</f>
        <v>1451051</v>
      </c>
      <c r="L208" s="938">
        <f>SUM(L204:L206)</f>
        <v>138106</v>
      </c>
    </row>
    <row r="209" spans="1:12" ht="13.15" customHeight="1">
      <c r="A209" s="901"/>
      <c r="B209" s="906"/>
      <c r="C209" s="901"/>
      <c r="D209" s="901"/>
      <c r="E209" s="906"/>
      <c r="F209" s="906"/>
      <c r="G209" s="901"/>
      <c r="H209" s="906"/>
      <c r="I209" s="906"/>
      <c r="J209" s="906"/>
      <c r="K209" s="906"/>
      <c r="L209" s="901"/>
    </row>
    <row r="210" spans="1:12" ht="13.15" customHeight="1">
      <c r="A210" s="877" t="s">
        <v>2</v>
      </c>
      <c r="B210" s="905"/>
      <c r="C210" s="905"/>
      <c r="D210" s="905"/>
      <c r="E210" s="877"/>
      <c r="F210" s="877"/>
      <c r="G210" s="877"/>
      <c r="H210" s="877"/>
      <c r="I210" s="877"/>
      <c r="J210" s="877"/>
      <c r="K210" s="877"/>
      <c r="L210" s="877"/>
    </row>
    <row r="211" spans="1:12" ht="14.25" customHeight="1">
      <c r="A211" s="398" t="s">
        <v>836</v>
      </c>
      <c r="B211" s="444"/>
      <c r="C211" s="444"/>
      <c r="D211" s="444"/>
      <c r="E211" s="444"/>
      <c r="F211" s="444"/>
      <c r="G211" s="444"/>
      <c r="H211" s="444"/>
      <c r="I211" s="444"/>
      <c r="J211" s="444"/>
      <c r="K211" s="444"/>
      <c r="L211" s="444"/>
    </row>
  </sheetData>
  <mergeCells count="12">
    <mergeCell ref="B5:C5"/>
    <mergeCell ref="E5:H5"/>
    <mergeCell ref="B48:C48"/>
    <mergeCell ref="E48:H48"/>
    <mergeCell ref="B91:C91"/>
    <mergeCell ref="E91:H91"/>
    <mergeCell ref="B134:C134"/>
    <mergeCell ref="E134:H134"/>
    <mergeCell ref="B146:C146"/>
    <mergeCell ref="E146:H146"/>
    <mergeCell ref="B177:C177"/>
    <mergeCell ref="E177:H177"/>
  </mergeCells>
  <printOptions horizontalCentered="1"/>
  <pageMargins left="0.5" right="0.5" top="0.5" bottom="1" header="0.5" footer="0.5"/>
  <pageSetup scale="84" firstPageNumber="12" orientation="landscape" useFirstPageNumber="1" r:id="rId1"/>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sheetPr codeName="Sheet11"/>
  <dimension ref="A1:H208"/>
  <sheetViews>
    <sheetView showOutlineSymbols="0" zoomScaleNormal="100" workbookViewId="0">
      <pane xSplit="1" topLeftCell="B1" activePane="topRight" state="frozen"/>
      <selection activeCell="C19" sqref="C19"/>
      <selection pane="topRight" activeCell="A205" sqref="A205"/>
    </sheetView>
  </sheetViews>
  <sheetFormatPr defaultColWidth="10.7109375" defaultRowHeight="15"/>
  <cols>
    <col min="1" max="1" width="18.28515625" style="414" customWidth="1"/>
    <col min="2" max="2" width="19.140625" style="406" customWidth="1"/>
    <col min="3" max="3" width="18.28515625" style="414" bestFit="1" customWidth="1"/>
    <col min="4" max="4" width="17.7109375" style="414" bestFit="1" customWidth="1"/>
    <col min="5" max="5" width="19.140625" style="414" bestFit="1" customWidth="1"/>
    <col min="6" max="6" width="20" style="414" customWidth="1"/>
    <col min="7" max="7" width="17.85546875" style="414" customWidth="1"/>
    <col min="8" max="16384" width="10.7109375" style="414"/>
  </cols>
  <sheetData>
    <row r="1" spans="1:8" ht="18">
      <c r="A1" s="445" t="s">
        <v>837</v>
      </c>
      <c r="B1" s="428"/>
      <c r="C1" s="428"/>
      <c r="D1" s="428"/>
      <c r="E1" s="428"/>
      <c r="F1" s="428"/>
      <c r="G1" s="428"/>
    </row>
    <row r="2" spans="1:8" ht="15.75">
      <c r="A2" s="401" t="s">
        <v>838</v>
      </c>
      <c r="B2" s="428"/>
      <c r="C2" s="428"/>
      <c r="D2" s="428"/>
      <c r="E2" s="428"/>
      <c r="F2" s="428"/>
      <c r="G2" s="428"/>
    </row>
    <row r="3" spans="1:8" ht="15.75">
      <c r="A3" s="430" t="str">
        <f>'Table 1.2'!A3</f>
        <v>Taxable Year 2010</v>
      </c>
      <c r="B3" s="428"/>
      <c r="C3" s="428"/>
      <c r="D3" s="428"/>
      <c r="E3" s="428"/>
      <c r="F3" s="428"/>
      <c r="G3" s="428"/>
    </row>
    <row r="4" spans="1:8" ht="13.15" customHeight="1" thickBot="1">
      <c r="A4" s="431"/>
      <c r="B4" s="429"/>
      <c r="C4" s="429"/>
      <c r="D4" s="429"/>
      <c r="E4" s="429"/>
      <c r="F4" s="429"/>
      <c r="G4" s="429"/>
    </row>
    <row r="5" spans="1:8">
      <c r="A5" s="446"/>
      <c r="B5" s="446" t="s">
        <v>839</v>
      </c>
      <c r="C5" s="446" t="s">
        <v>840</v>
      </c>
      <c r="D5" s="446" t="s">
        <v>841</v>
      </c>
      <c r="E5" s="446" t="s">
        <v>841</v>
      </c>
      <c r="F5" s="446" t="s">
        <v>841</v>
      </c>
      <c r="G5" s="446" t="s">
        <v>842</v>
      </c>
      <c r="H5" s="431"/>
    </row>
    <row r="6" spans="1:8" ht="13.15" customHeight="1">
      <c r="A6" s="432" t="s">
        <v>33</v>
      </c>
      <c r="B6" s="432" t="s">
        <v>843</v>
      </c>
      <c r="C6" s="432" t="s">
        <v>844</v>
      </c>
      <c r="D6" s="432" t="s">
        <v>845</v>
      </c>
      <c r="E6" s="432" t="s">
        <v>846</v>
      </c>
      <c r="F6" s="432" t="s">
        <v>847</v>
      </c>
      <c r="G6" s="432" t="s">
        <v>848</v>
      </c>
    </row>
    <row r="7" spans="1:8" ht="10.7" customHeight="1">
      <c r="A7" s="429"/>
      <c r="B7" s="429"/>
      <c r="C7" s="429"/>
      <c r="D7" s="429"/>
      <c r="E7" s="429"/>
      <c r="F7" s="429"/>
      <c r="G7" s="429"/>
    </row>
    <row r="8" spans="1:8" ht="13.15" customHeight="1">
      <c r="A8" s="406" t="s">
        <v>522</v>
      </c>
      <c r="B8" s="404">
        <v>397822431.19999999</v>
      </c>
      <c r="C8" s="404">
        <v>31139778.600000001</v>
      </c>
      <c r="D8" s="404">
        <v>20288943</v>
      </c>
      <c r="E8" s="404">
        <v>105362525.03</v>
      </c>
      <c r="F8" s="404">
        <v>241031184.57000002</v>
      </c>
      <c r="G8" s="404">
        <v>19789406.309999999</v>
      </c>
    </row>
    <row r="9" spans="1:8" ht="13.15" customHeight="1">
      <c r="A9" s="406" t="s">
        <v>526</v>
      </c>
      <c r="B9" s="406">
        <v>3019432774.6100001</v>
      </c>
      <c r="C9" s="406">
        <v>92561040.480000004</v>
      </c>
      <c r="D9" s="406">
        <v>61206961.330000006</v>
      </c>
      <c r="E9" s="406">
        <v>341022036.79000002</v>
      </c>
      <c r="F9" s="406">
        <v>2524642736.0099998</v>
      </c>
      <c r="G9" s="406">
        <v>163328730.02999997</v>
      </c>
    </row>
    <row r="10" spans="1:8" ht="13.15" customHeight="1">
      <c r="A10" s="406" t="s">
        <v>530</v>
      </c>
      <c r="B10" s="406">
        <v>215684181.49000004</v>
      </c>
      <c r="C10" s="406">
        <v>13489363</v>
      </c>
      <c r="D10" s="406">
        <v>8918469</v>
      </c>
      <c r="E10" s="406">
        <v>48875487.18</v>
      </c>
      <c r="F10" s="406">
        <v>144400862.31</v>
      </c>
      <c r="G10" s="406">
        <v>10898575.300000001</v>
      </c>
    </row>
    <row r="11" spans="1:8" ht="13.15" customHeight="1">
      <c r="A11" s="406" t="s">
        <v>534</v>
      </c>
      <c r="B11" s="406">
        <v>171547925.75</v>
      </c>
      <c r="C11" s="406">
        <v>11607269.6</v>
      </c>
      <c r="D11" s="406">
        <v>7670821</v>
      </c>
      <c r="E11" s="406">
        <v>42028310.090000004</v>
      </c>
      <c r="F11" s="406">
        <v>110241525.06</v>
      </c>
      <c r="G11" s="406">
        <v>8598345.5700000003</v>
      </c>
    </row>
    <row r="12" spans="1:8" ht="13.15" customHeight="1">
      <c r="A12" s="406" t="s">
        <v>538</v>
      </c>
      <c r="B12" s="406">
        <v>390698303.85000002</v>
      </c>
      <c r="C12" s="406">
        <v>27140156</v>
      </c>
      <c r="D12" s="406">
        <v>17989922</v>
      </c>
      <c r="E12" s="406">
        <v>97739822.920000002</v>
      </c>
      <c r="F12" s="406">
        <v>247828402.93000001</v>
      </c>
      <c r="G12" s="406">
        <v>19461862.859999999</v>
      </c>
    </row>
    <row r="13" spans="1:8" ht="10.7" customHeight="1">
      <c r="A13" s="406"/>
      <c r="C13" s="406"/>
      <c r="D13" s="406"/>
      <c r="E13" s="406"/>
      <c r="F13" s="406"/>
      <c r="G13" s="406"/>
    </row>
    <row r="14" spans="1:8" ht="13.15" customHeight="1">
      <c r="A14" s="406" t="s">
        <v>542</v>
      </c>
      <c r="B14" s="406">
        <v>184514877.59000003</v>
      </c>
      <c r="C14" s="406">
        <v>12595223.65</v>
      </c>
      <c r="D14" s="406">
        <v>8326462</v>
      </c>
      <c r="E14" s="406">
        <v>45039502.430000007</v>
      </c>
      <c r="F14" s="406">
        <v>118553689.50999999</v>
      </c>
      <c r="G14" s="406">
        <v>9216416.0199999996</v>
      </c>
    </row>
    <row r="15" spans="1:8" ht="13.15" customHeight="1">
      <c r="A15" s="406" t="s">
        <v>546</v>
      </c>
      <c r="B15" s="406">
        <v>9606229501.1300011</v>
      </c>
      <c r="C15" s="406">
        <v>304148636.20000005</v>
      </c>
      <c r="D15" s="406">
        <v>201001133.37</v>
      </c>
      <c r="E15" s="406">
        <v>1143755794.5599999</v>
      </c>
      <c r="F15" s="406">
        <v>7957323937</v>
      </c>
      <c r="G15" s="406">
        <v>521767669.28000003</v>
      </c>
    </row>
    <row r="16" spans="1:8" ht="13.15" customHeight="1">
      <c r="A16" s="406" t="s">
        <v>550</v>
      </c>
      <c r="B16" s="406">
        <v>1059502739.8300002</v>
      </c>
      <c r="C16" s="406">
        <v>66662326.310000002</v>
      </c>
      <c r="D16" s="406">
        <v>44190408</v>
      </c>
      <c r="E16" s="406">
        <v>244693352.94</v>
      </c>
      <c r="F16" s="406">
        <v>703956652.58000004</v>
      </c>
      <c r="G16" s="406">
        <v>53271846.539999999</v>
      </c>
    </row>
    <row r="17" spans="1:7" ht="13.15" customHeight="1">
      <c r="A17" s="406" t="s">
        <v>554</v>
      </c>
      <c r="B17" s="406">
        <v>69273994.75999999</v>
      </c>
      <c r="C17" s="406">
        <v>4532781</v>
      </c>
      <c r="D17" s="406">
        <v>2974284</v>
      </c>
      <c r="E17" s="406">
        <v>16059298</v>
      </c>
      <c r="F17" s="406">
        <v>45707631.759999998</v>
      </c>
      <c r="G17" s="406">
        <v>3493677.6100000003</v>
      </c>
    </row>
    <row r="18" spans="1:7" ht="13.15" customHeight="1">
      <c r="A18" s="406" t="s">
        <v>558</v>
      </c>
      <c r="B18" s="406">
        <v>1223322050.4499998</v>
      </c>
      <c r="C18" s="406">
        <v>62551911.989999995</v>
      </c>
      <c r="D18" s="406">
        <v>41476941.280000001</v>
      </c>
      <c r="E18" s="406">
        <v>231141134.37</v>
      </c>
      <c r="F18" s="406">
        <v>888152062.81000006</v>
      </c>
      <c r="G18" s="406">
        <v>63104516.519999988</v>
      </c>
    </row>
    <row r="19" spans="1:7" ht="10.7" customHeight="1">
      <c r="A19" s="406"/>
      <c r="C19" s="406"/>
      <c r="D19" s="406"/>
      <c r="E19" s="406"/>
      <c r="F19" s="406"/>
      <c r="G19" s="406"/>
    </row>
    <row r="20" spans="1:7" ht="13.15" customHeight="1">
      <c r="A20" s="406" t="s">
        <v>562</v>
      </c>
      <c r="B20" s="406">
        <v>79397461.329999998</v>
      </c>
      <c r="C20" s="406">
        <v>5066975</v>
      </c>
      <c r="D20" s="406">
        <v>3355539</v>
      </c>
      <c r="E20" s="406">
        <v>18631765.600000001</v>
      </c>
      <c r="F20" s="406">
        <v>52343181.730000004</v>
      </c>
      <c r="G20" s="406">
        <v>3997628.42</v>
      </c>
    </row>
    <row r="21" spans="1:7" ht="13.15" customHeight="1">
      <c r="A21" s="406" t="s">
        <v>566</v>
      </c>
      <c r="B21" s="406">
        <v>594065325</v>
      </c>
      <c r="C21" s="406">
        <v>30023087.140000001</v>
      </c>
      <c r="D21" s="406">
        <v>19922207.219999999</v>
      </c>
      <c r="E21" s="406">
        <v>111515612.40000001</v>
      </c>
      <c r="F21" s="406">
        <v>432604418.24000001</v>
      </c>
      <c r="G21" s="406">
        <v>30621131.260000002</v>
      </c>
    </row>
    <row r="22" spans="1:7" ht="13.15" customHeight="1">
      <c r="A22" s="406" t="s">
        <v>570</v>
      </c>
      <c r="B22" s="406">
        <v>153254798.63000003</v>
      </c>
      <c r="C22" s="406">
        <v>12842946</v>
      </c>
      <c r="D22" s="406">
        <v>8459761</v>
      </c>
      <c r="E22" s="406">
        <v>44197265.519999996</v>
      </c>
      <c r="F22" s="406">
        <v>87754826.109999999</v>
      </c>
      <c r="G22" s="406">
        <v>7531452.7599999998</v>
      </c>
    </row>
    <row r="23" spans="1:7" ht="13.15" customHeight="1">
      <c r="A23" s="406" t="s">
        <v>574</v>
      </c>
      <c r="B23" s="406">
        <v>274664345.96999997</v>
      </c>
      <c r="C23" s="406">
        <v>15694481.77</v>
      </c>
      <c r="D23" s="406">
        <v>10360885.73</v>
      </c>
      <c r="E23" s="406">
        <v>56913936.590000004</v>
      </c>
      <c r="F23" s="406">
        <v>191695041.88</v>
      </c>
      <c r="G23" s="406">
        <v>14133185.899999999</v>
      </c>
    </row>
    <row r="24" spans="1:7" ht="13.15" customHeight="1">
      <c r="A24" s="406" t="s">
        <v>578</v>
      </c>
      <c r="B24" s="406">
        <v>158046720.15000004</v>
      </c>
      <c r="C24" s="406">
        <v>11907268.640000001</v>
      </c>
      <c r="D24" s="406">
        <v>7886193</v>
      </c>
      <c r="E24" s="406">
        <v>42525071.240000002</v>
      </c>
      <c r="F24" s="406">
        <v>95728187.269999981</v>
      </c>
      <c r="G24" s="406">
        <v>7849373.7199999997</v>
      </c>
    </row>
    <row r="25" spans="1:7" ht="10.7" customHeight="1">
      <c r="A25" s="406"/>
      <c r="C25" s="406"/>
      <c r="D25" s="406"/>
      <c r="E25" s="406"/>
      <c r="F25" s="406"/>
      <c r="G25" s="406"/>
    </row>
    <row r="26" spans="1:7" ht="13.15" customHeight="1">
      <c r="A26" s="406" t="s">
        <v>582</v>
      </c>
      <c r="B26" s="406">
        <v>691985146.22000003</v>
      </c>
      <c r="C26" s="406">
        <v>46212542.120000005</v>
      </c>
      <c r="D26" s="406">
        <v>30632773.359999999</v>
      </c>
      <c r="E26" s="406">
        <v>166836163.87</v>
      </c>
      <c r="F26" s="406">
        <v>448303666.87</v>
      </c>
      <c r="G26" s="406">
        <v>34686785.340000004</v>
      </c>
    </row>
    <row r="27" spans="1:7" ht="13.15" customHeight="1">
      <c r="A27" s="406" t="s">
        <v>584</v>
      </c>
      <c r="B27" s="406">
        <v>415010590.63</v>
      </c>
      <c r="C27" s="406">
        <v>26525409</v>
      </c>
      <c r="D27" s="406">
        <v>17564958.699999999</v>
      </c>
      <c r="E27" s="406">
        <v>96219282.819999993</v>
      </c>
      <c r="F27" s="406">
        <v>274700940.11000001</v>
      </c>
      <c r="G27" s="406">
        <v>21030026.039999999</v>
      </c>
    </row>
    <row r="28" spans="1:7" ht="13.15" customHeight="1">
      <c r="A28" s="406" t="s">
        <v>587</v>
      </c>
      <c r="B28" s="406">
        <v>267360867.24999997</v>
      </c>
      <c r="C28" s="406">
        <v>21414591.699999999</v>
      </c>
      <c r="D28" s="406">
        <v>14110435</v>
      </c>
      <c r="E28" s="406">
        <v>75905907.650000006</v>
      </c>
      <c r="F28" s="406">
        <v>155929932.90000001</v>
      </c>
      <c r="G28" s="406">
        <v>13000943.049999999</v>
      </c>
    </row>
    <row r="29" spans="1:7" ht="13.15" customHeight="1">
      <c r="A29" s="406" t="s">
        <v>590</v>
      </c>
      <c r="B29" s="406">
        <v>109482683.69</v>
      </c>
      <c r="C29" s="406">
        <v>7255089</v>
      </c>
      <c r="D29" s="406">
        <v>4797660.68</v>
      </c>
      <c r="E29" s="406">
        <v>25956758.34</v>
      </c>
      <c r="F29" s="406">
        <v>71473175.670000002</v>
      </c>
      <c r="G29" s="406">
        <v>5535341.2999999998</v>
      </c>
    </row>
    <row r="30" spans="1:7" ht="13.15" customHeight="1">
      <c r="A30" s="406" t="s">
        <v>593</v>
      </c>
      <c r="B30" s="406">
        <v>122256421.98</v>
      </c>
      <c r="C30" s="406">
        <v>9526971.4600000009</v>
      </c>
      <c r="D30" s="406">
        <v>6256956</v>
      </c>
      <c r="E30" s="406">
        <v>33204936.350000001</v>
      </c>
      <c r="F30" s="406">
        <v>73267558.169999987</v>
      </c>
      <c r="G30" s="406">
        <v>6025678.0800000001</v>
      </c>
    </row>
    <row r="31" spans="1:7" ht="10.7" customHeight="1">
      <c r="A31" s="406"/>
      <c r="C31" s="406"/>
      <c r="D31" s="406"/>
      <c r="E31" s="406"/>
      <c r="F31" s="406"/>
      <c r="G31" s="406"/>
    </row>
    <row r="32" spans="1:7" ht="13.15" customHeight="1">
      <c r="A32" s="406" t="s">
        <v>595</v>
      </c>
      <c r="B32" s="406">
        <v>6696086119.2600002</v>
      </c>
      <c r="C32" s="406">
        <v>314403817.29000002</v>
      </c>
      <c r="D32" s="406">
        <v>208137597.18000001</v>
      </c>
      <c r="E32" s="406">
        <v>1156399352.4299998</v>
      </c>
      <c r="F32" s="406">
        <v>5017145352.3600006</v>
      </c>
      <c r="G32" s="406">
        <v>349942720.43000007</v>
      </c>
    </row>
    <row r="33" spans="1:8" ht="13.15" customHeight="1">
      <c r="A33" s="406" t="s">
        <v>598</v>
      </c>
      <c r="B33" s="406">
        <v>343294037.46999997</v>
      </c>
      <c r="C33" s="406">
        <v>13877473.279999999</v>
      </c>
      <c r="D33" s="406">
        <v>9177194</v>
      </c>
      <c r="E33" s="406">
        <v>51312446.240000002</v>
      </c>
      <c r="F33" s="406">
        <v>268926923.95000005</v>
      </c>
      <c r="G33" s="406">
        <v>18182311.239999998</v>
      </c>
    </row>
    <row r="34" spans="1:8" ht="13.15" customHeight="1">
      <c r="A34" s="406" t="s">
        <v>600</v>
      </c>
      <c r="B34" s="406">
        <v>62429126.060000002</v>
      </c>
      <c r="C34" s="406">
        <v>4200385</v>
      </c>
      <c r="D34" s="406">
        <v>2777088</v>
      </c>
      <c r="E34" s="406">
        <v>15309482.51</v>
      </c>
      <c r="F34" s="406">
        <v>40142170.549999997</v>
      </c>
      <c r="G34" s="406">
        <v>3114527.3</v>
      </c>
    </row>
    <row r="35" spans="1:8" ht="13.15" customHeight="1">
      <c r="A35" s="406" t="s">
        <v>603</v>
      </c>
      <c r="B35" s="406">
        <v>758837232.82999992</v>
      </c>
      <c r="C35" s="406">
        <v>42564487.420000002</v>
      </c>
      <c r="D35" s="406">
        <v>28156600</v>
      </c>
      <c r="E35" s="406">
        <v>154298916.87</v>
      </c>
      <c r="F35" s="406">
        <v>533817228.54000002</v>
      </c>
      <c r="G35" s="406">
        <v>38978780.870000005</v>
      </c>
    </row>
    <row r="36" spans="1:8" ht="13.15" customHeight="1">
      <c r="A36" s="406" t="s">
        <v>606</v>
      </c>
      <c r="B36" s="406">
        <v>94273556.200000003</v>
      </c>
      <c r="C36" s="406">
        <v>7499521</v>
      </c>
      <c r="D36" s="406">
        <v>4946056</v>
      </c>
      <c r="E36" s="406">
        <v>26405911.899999999</v>
      </c>
      <c r="F36" s="406">
        <v>55422067.299999997</v>
      </c>
      <c r="G36" s="406">
        <v>4635928.43</v>
      </c>
    </row>
    <row r="37" spans="1:8" ht="10.7" customHeight="1">
      <c r="A37" s="406"/>
      <c r="C37" s="406"/>
      <c r="D37" s="406"/>
      <c r="E37" s="406"/>
      <c r="F37" s="406"/>
      <c r="G37" s="406"/>
    </row>
    <row r="38" spans="1:8" ht="13.15" customHeight="1">
      <c r="A38" s="406" t="s">
        <v>609</v>
      </c>
      <c r="B38" s="406">
        <v>155070372.34</v>
      </c>
      <c r="C38" s="406">
        <v>9859979</v>
      </c>
      <c r="D38" s="406">
        <v>6542008</v>
      </c>
      <c r="E38" s="406">
        <v>36120429.649999999</v>
      </c>
      <c r="F38" s="406">
        <v>102547955.69</v>
      </c>
      <c r="G38" s="406">
        <v>7831986.6899999995</v>
      </c>
    </row>
    <row r="39" spans="1:8" ht="13.15" customHeight="1">
      <c r="A39" s="406" t="s">
        <v>612</v>
      </c>
      <c r="B39" s="406">
        <v>368873858.12</v>
      </c>
      <c r="C39" s="406">
        <v>24687781.759999998</v>
      </c>
      <c r="D39" s="406">
        <v>16346886</v>
      </c>
      <c r="E39" s="406">
        <v>89317057.769999996</v>
      </c>
      <c r="F39" s="406">
        <v>238522132.59</v>
      </c>
      <c r="G39" s="406">
        <v>18577767.059999999</v>
      </c>
    </row>
    <row r="40" spans="1:8" ht="13.15" customHeight="1">
      <c r="A40" s="406" t="s">
        <v>615</v>
      </c>
      <c r="B40" s="406">
        <v>142116715.69</v>
      </c>
      <c r="C40" s="406">
        <v>10154224</v>
      </c>
      <c r="D40" s="406">
        <v>6714732</v>
      </c>
      <c r="E40" s="406">
        <v>35713093.629999995</v>
      </c>
      <c r="F40" s="406">
        <v>89534666.060000002</v>
      </c>
      <c r="G40" s="406">
        <v>7132073.040000001</v>
      </c>
    </row>
    <row r="41" spans="1:8" ht="13.15" customHeight="1">
      <c r="A41" s="419" t="s">
        <v>618</v>
      </c>
      <c r="B41" s="419">
        <v>41757622208.249992</v>
      </c>
      <c r="C41" s="419">
        <v>1200725112.01</v>
      </c>
      <c r="D41" s="419">
        <v>793780901.75000012</v>
      </c>
      <c r="E41" s="419">
        <v>4468490424.46</v>
      </c>
      <c r="F41" s="419">
        <v>35294625770.029991</v>
      </c>
      <c r="G41" s="419">
        <v>2269081031.4300003</v>
      </c>
    </row>
    <row r="42" spans="1:8" ht="13.15" customHeight="1">
      <c r="A42" s="419" t="s">
        <v>621</v>
      </c>
      <c r="B42" s="419">
        <v>2007153653.1300001</v>
      </c>
      <c r="C42" s="419">
        <v>67841656.979999989</v>
      </c>
      <c r="D42" s="419">
        <v>44930371.280000001</v>
      </c>
      <c r="E42" s="419">
        <v>251869682.61000001</v>
      </c>
      <c r="F42" s="419">
        <v>1642511942.26</v>
      </c>
      <c r="G42" s="419">
        <v>107754061.44999999</v>
      </c>
      <c r="H42" s="431"/>
    </row>
    <row r="43" spans="1:8" ht="18">
      <c r="A43" s="447" t="s">
        <v>849</v>
      </c>
      <c r="B43" s="429"/>
      <c r="C43" s="429"/>
      <c r="D43" s="429"/>
      <c r="E43" s="429"/>
      <c r="F43" s="429"/>
      <c r="G43" s="429"/>
      <c r="H43" s="431"/>
    </row>
    <row r="44" spans="1:8" ht="15.75">
      <c r="A44" s="430" t="s">
        <v>838</v>
      </c>
      <c r="B44" s="429"/>
      <c r="C44" s="429"/>
      <c r="D44" s="429"/>
      <c r="E44" s="429"/>
      <c r="F44" s="429"/>
      <c r="G44" s="429"/>
    </row>
    <row r="45" spans="1:8" ht="15.75">
      <c r="A45" s="430" t="str">
        <f>A3</f>
        <v>Taxable Year 2010</v>
      </c>
      <c r="B45" s="428"/>
      <c r="C45" s="428"/>
      <c r="D45" s="428"/>
      <c r="E45" s="428"/>
      <c r="F45" s="428"/>
      <c r="G45" s="428"/>
    </row>
    <row r="46" spans="1:8" ht="13.15" customHeight="1" thickBot="1">
      <c r="A46" s="431"/>
      <c r="B46" s="429"/>
      <c r="C46" s="429"/>
      <c r="D46" s="429"/>
      <c r="E46" s="429"/>
      <c r="F46" s="429"/>
      <c r="G46" s="429"/>
    </row>
    <row r="47" spans="1:8">
      <c r="A47" s="446"/>
      <c r="B47" s="446" t="s">
        <v>839</v>
      </c>
      <c r="C47" s="446" t="s">
        <v>840</v>
      </c>
      <c r="D47" s="446" t="s">
        <v>841</v>
      </c>
      <c r="E47" s="446" t="s">
        <v>841</v>
      </c>
      <c r="F47" s="446" t="s">
        <v>841</v>
      </c>
      <c r="G47" s="446" t="s">
        <v>842</v>
      </c>
      <c r="H47" s="431"/>
    </row>
    <row r="48" spans="1:8" ht="13.15" customHeight="1">
      <c r="A48" s="432" t="s">
        <v>33</v>
      </c>
      <c r="B48" s="432" t="s">
        <v>843</v>
      </c>
      <c r="C48" s="432" t="s">
        <v>844</v>
      </c>
      <c r="D48" s="432" t="s">
        <v>845</v>
      </c>
      <c r="E48" s="432" t="s">
        <v>846</v>
      </c>
      <c r="F48" s="432" t="s">
        <v>847</v>
      </c>
      <c r="G48" s="432" t="s">
        <v>848</v>
      </c>
    </row>
    <row r="49" spans="1:7" ht="10.7" customHeight="1">
      <c r="A49" s="419"/>
      <c r="B49" s="429"/>
      <c r="C49" s="429"/>
      <c r="D49" s="429"/>
      <c r="E49" s="429"/>
      <c r="F49" s="429"/>
      <c r="G49" s="429"/>
    </row>
    <row r="50" spans="1:7" ht="13.15" customHeight="1">
      <c r="A50" s="406" t="s">
        <v>624</v>
      </c>
      <c r="B50" s="404">
        <v>185091324.84</v>
      </c>
      <c r="C50" s="404">
        <v>12114950</v>
      </c>
      <c r="D50" s="404">
        <v>8040568</v>
      </c>
      <c r="E50" s="404">
        <v>44260342.670000002</v>
      </c>
      <c r="F50" s="404">
        <v>120675464.17</v>
      </c>
      <c r="G50" s="404">
        <v>9259708.8599999994</v>
      </c>
    </row>
    <row r="51" spans="1:7" ht="13.15" customHeight="1">
      <c r="A51" s="406" t="s">
        <v>626</v>
      </c>
      <c r="B51" s="406">
        <v>403634562.18000001</v>
      </c>
      <c r="C51" s="406">
        <v>23153369.039999999</v>
      </c>
      <c r="D51" s="406">
        <v>15351476</v>
      </c>
      <c r="E51" s="406">
        <v>85778434.780000001</v>
      </c>
      <c r="F51" s="406">
        <v>279351282.36000001</v>
      </c>
      <c r="G51" s="406">
        <v>20563380.020000003</v>
      </c>
    </row>
    <row r="52" spans="1:7" ht="13.15" customHeight="1">
      <c r="A52" s="406" t="s">
        <v>629</v>
      </c>
      <c r="B52" s="406">
        <v>698912059.5</v>
      </c>
      <c r="C52" s="406">
        <v>43946343.640000001</v>
      </c>
      <c r="D52" s="406">
        <v>29093540</v>
      </c>
      <c r="E52" s="406">
        <v>158953444.15000001</v>
      </c>
      <c r="F52" s="406">
        <v>466918731.70999998</v>
      </c>
      <c r="G52" s="406">
        <v>35305131.109999999</v>
      </c>
    </row>
    <row r="53" spans="1:7" ht="13.15" customHeight="1">
      <c r="A53" s="406" t="s">
        <v>631</v>
      </c>
      <c r="B53" s="406">
        <v>1490399504.5799999</v>
      </c>
      <c r="C53" s="406">
        <v>75250353.459999993</v>
      </c>
      <c r="D53" s="406">
        <v>49795542.030000001</v>
      </c>
      <c r="E53" s="406">
        <v>276565491.86000001</v>
      </c>
      <c r="F53" s="406">
        <v>1088788117.23</v>
      </c>
      <c r="G53" s="406">
        <v>77300373.13000001</v>
      </c>
    </row>
    <row r="54" spans="1:7" ht="13.15" customHeight="1">
      <c r="A54" s="406" t="s">
        <v>634</v>
      </c>
      <c r="B54" s="406">
        <v>211354784.94999999</v>
      </c>
      <c r="C54" s="406">
        <v>14100641.42</v>
      </c>
      <c r="D54" s="406">
        <v>9361941.6099999994</v>
      </c>
      <c r="E54" s="406">
        <v>51668863.230000004</v>
      </c>
      <c r="F54" s="406">
        <v>136223338.69</v>
      </c>
      <c r="G54" s="406">
        <v>10571242.66</v>
      </c>
    </row>
    <row r="55" spans="1:7" ht="10.7" customHeight="1">
      <c r="A55" s="406"/>
      <c r="C55" s="406"/>
      <c r="D55" s="406"/>
      <c r="E55" s="406"/>
      <c r="F55" s="406"/>
      <c r="G55" s="406"/>
    </row>
    <row r="56" spans="1:7" ht="13.15" customHeight="1">
      <c r="A56" s="406" t="s">
        <v>637</v>
      </c>
      <c r="B56" s="406">
        <v>598630703.78000009</v>
      </c>
      <c r="C56" s="406">
        <v>35122028.449999996</v>
      </c>
      <c r="D56" s="406">
        <v>23273477.059999999</v>
      </c>
      <c r="E56" s="406">
        <v>128261191.03999999</v>
      </c>
      <c r="F56" s="406">
        <v>411974007.23000002</v>
      </c>
      <c r="G56" s="406">
        <v>30484333.899999999</v>
      </c>
    </row>
    <row r="57" spans="1:7" ht="13.15" customHeight="1">
      <c r="A57" s="406" t="s">
        <v>639</v>
      </c>
      <c r="B57" s="406">
        <v>944710428.36999989</v>
      </c>
      <c r="C57" s="406">
        <v>21203508.789999999</v>
      </c>
      <c r="D57" s="406">
        <v>14052730</v>
      </c>
      <c r="E57" s="406">
        <v>79027958.25999999</v>
      </c>
      <c r="F57" s="406">
        <v>830426231.31999993</v>
      </c>
      <c r="G57" s="406">
        <v>51834889.719999999</v>
      </c>
    </row>
    <row r="58" spans="1:7" ht="13.15" customHeight="1">
      <c r="A58" s="406" t="s">
        <v>641</v>
      </c>
      <c r="B58" s="406">
        <v>133821760.75999999</v>
      </c>
      <c r="C58" s="406">
        <v>11494258.93</v>
      </c>
      <c r="D58" s="406">
        <v>7563686</v>
      </c>
      <c r="E58" s="406">
        <v>40489622.390000001</v>
      </c>
      <c r="F58" s="406">
        <v>74274193.439999998</v>
      </c>
      <c r="G58" s="406">
        <v>6446899.3900000006</v>
      </c>
    </row>
    <row r="59" spans="1:7" ht="13.15" customHeight="1">
      <c r="A59" s="406" t="s">
        <v>644</v>
      </c>
      <c r="B59" s="406">
        <v>286026914.28000003</v>
      </c>
      <c r="C59" s="406">
        <v>16814487</v>
      </c>
      <c r="D59" s="406">
        <v>11145335</v>
      </c>
      <c r="E59" s="406">
        <v>61743427.560000002</v>
      </c>
      <c r="F59" s="406">
        <v>196323664.72</v>
      </c>
      <c r="G59" s="406">
        <v>14545262.68</v>
      </c>
    </row>
    <row r="60" spans="1:7" ht="13.15" customHeight="1">
      <c r="A60" s="406" t="s">
        <v>647</v>
      </c>
      <c r="B60" s="406">
        <v>142636786.14999998</v>
      </c>
      <c r="C60" s="406">
        <v>10516838.68</v>
      </c>
      <c r="D60" s="406">
        <v>6879307.0099999998</v>
      </c>
      <c r="E60" s="406">
        <v>36171150.579999998</v>
      </c>
      <c r="F60" s="406">
        <v>89069489.88000001</v>
      </c>
      <c r="G60" s="406">
        <v>7179124.1699999999</v>
      </c>
    </row>
    <row r="61" spans="1:7" ht="10.7" customHeight="1">
      <c r="A61" s="406"/>
      <c r="C61" s="406"/>
      <c r="D61" s="406"/>
      <c r="E61" s="406"/>
      <c r="F61" s="406"/>
      <c r="G61" s="406"/>
    </row>
    <row r="62" spans="1:7" ht="13.15" customHeight="1">
      <c r="A62" s="406" t="s">
        <v>523</v>
      </c>
      <c r="B62" s="406">
        <v>376803853.99000001</v>
      </c>
      <c r="C62" s="406">
        <v>28016974.68</v>
      </c>
      <c r="D62" s="406">
        <v>18493518</v>
      </c>
      <c r="E62" s="406">
        <v>98491620.859999999</v>
      </c>
      <c r="F62" s="406">
        <v>231801740.45000002</v>
      </c>
      <c r="G62" s="406">
        <v>18736484.859999999</v>
      </c>
    </row>
    <row r="63" spans="1:7" ht="13.15" customHeight="1">
      <c r="A63" s="406" t="s">
        <v>527</v>
      </c>
      <c r="B63" s="406">
        <v>2235509456.4100003</v>
      </c>
      <c r="C63" s="406">
        <v>98056994.870000005</v>
      </c>
      <c r="D63" s="406">
        <v>64962547.359999999</v>
      </c>
      <c r="E63" s="406">
        <v>364773434.68000001</v>
      </c>
      <c r="F63" s="406">
        <v>1707716479.4999998</v>
      </c>
      <c r="G63" s="406">
        <v>116974001.15999998</v>
      </c>
    </row>
    <row r="64" spans="1:7" ht="13.15" customHeight="1">
      <c r="A64" s="406" t="s">
        <v>531</v>
      </c>
      <c r="B64" s="406">
        <v>6639263217.2199993</v>
      </c>
      <c r="C64" s="406">
        <v>310043470.28000003</v>
      </c>
      <c r="D64" s="406">
        <v>205174604.65000001</v>
      </c>
      <c r="E64" s="406">
        <v>1132444531.9099998</v>
      </c>
      <c r="F64" s="406">
        <v>4991600610.3799992</v>
      </c>
      <c r="G64" s="406">
        <v>348721730.98999995</v>
      </c>
    </row>
    <row r="65" spans="1:7" ht="13.15" customHeight="1">
      <c r="A65" s="406" t="s">
        <v>535</v>
      </c>
      <c r="B65" s="406">
        <v>531621672.95999998</v>
      </c>
      <c r="C65" s="406">
        <v>42481825.609999999</v>
      </c>
      <c r="D65" s="406">
        <v>28101464.280000001</v>
      </c>
      <c r="E65" s="406">
        <v>146463381.13</v>
      </c>
      <c r="F65" s="406">
        <v>314575001.94</v>
      </c>
      <c r="G65" s="406">
        <v>26127993.250000004</v>
      </c>
    </row>
    <row r="66" spans="1:7" ht="13.15" customHeight="1">
      <c r="A66" s="406" t="s">
        <v>539</v>
      </c>
      <c r="B66" s="406">
        <v>29670288.190000001</v>
      </c>
      <c r="C66" s="406">
        <v>1822606</v>
      </c>
      <c r="D66" s="406">
        <v>1202427</v>
      </c>
      <c r="E66" s="406">
        <v>6479886.8900000006</v>
      </c>
      <c r="F66" s="406">
        <v>20165368.300000001</v>
      </c>
      <c r="G66" s="406">
        <v>1506123.62</v>
      </c>
    </row>
    <row r="67" spans="1:7" ht="10.7" customHeight="1">
      <c r="A67" s="406"/>
      <c r="C67" s="406"/>
      <c r="D67" s="406"/>
      <c r="E67" s="406"/>
      <c r="F67" s="406"/>
      <c r="G67" s="406"/>
    </row>
    <row r="68" spans="1:7" ht="13.15" customHeight="1">
      <c r="A68" s="406" t="s">
        <v>543</v>
      </c>
      <c r="B68" s="406">
        <v>676677239.72000003</v>
      </c>
      <c r="C68" s="406">
        <v>34722529</v>
      </c>
      <c r="D68" s="406">
        <v>22955757.48</v>
      </c>
      <c r="E68" s="406">
        <v>127317336.82000001</v>
      </c>
      <c r="F68" s="406">
        <v>491681616.42000008</v>
      </c>
      <c r="G68" s="406">
        <v>35031660.75</v>
      </c>
    </row>
    <row r="69" spans="1:7" ht="13.15" customHeight="1">
      <c r="A69" s="406" t="s">
        <v>547</v>
      </c>
      <c r="B69" s="406">
        <v>1655050116.8600001</v>
      </c>
      <c r="C69" s="406">
        <v>66570801.660000004</v>
      </c>
      <c r="D69" s="406">
        <v>44000033.32</v>
      </c>
      <c r="E69" s="406">
        <v>243382449.90000001</v>
      </c>
      <c r="F69" s="406">
        <v>1301096831.9800003</v>
      </c>
      <c r="G69" s="406">
        <v>87655562.559999987</v>
      </c>
    </row>
    <row r="70" spans="1:7" ht="13.15" customHeight="1">
      <c r="A70" s="406" t="s">
        <v>551</v>
      </c>
      <c r="B70" s="406">
        <v>93544438.129999995</v>
      </c>
      <c r="C70" s="406">
        <v>6316180.2699999996</v>
      </c>
      <c r="D70" s="406">
        <v>4174274</v>
      </c>
      <c r="E70" s="406">
        <v>22656903</v>
      </c>
      <c r="F70" s="406">
        <v>60397080.859999999</v>
      </c>
      <c r="G70" s="406">
        <v>4706646.2100000009</v>
      </c>
    </row>
    <row r="71" spans="1:7" ht="13.15" customHeight="1">
      <c r="A71" s="406" t="s">
        <v>555</v>
      </c>
      <c r="B71" s="406">
        <v>493388645.03999996</v>
      </c>
      <c r="C71" s="406">
        <v>22328013.900000002</v>
      </c>
      <c r="D71" s="406">
        <v>14810537.66</v>
      </c>
      <c r="E71" s="406">
        <v>83079851</v>
      </c>
      <c r="F71" s="406">
        <v>373170242.48000002</v>
      </c>
      <c r="G71" s="406">
        <v>25857016.150000002</v>
      </c>
    </row>
    <row r="72" spans="1:7" ht="13.15" customHeight="1">
      <c r="A72" s="406" t="s">
        <v>559</v>
      </c>
      <c r="B72" s="406">
        <v>259917805.38000003</v>
      </c>
      <c r="C72" s="406">
        <v>15995026.630000001</v>
      </c>
      <c r="D72" s="406">
        <v>10600287</v>
      </c>
      <c r="E72" s="406">
        <v>58725706.120000005</v>
      </c>
      <c r="F72" s="406">
        <v>174596785.63</v>
      </c>
      <c r="G72" s="406">
        <v>13121825.189999999</v>
      </c>
    </row>
    <row r="73" spans="1:7" ht="10.7" customHeight="1">
      <c r="A73" s="428"/>
      <c r="C73" s="406"/>
      <c r="D73" s="406"/>
      <c r="E73" s="406"/>
      <c r="F73" s="406"/>
      <c r="G73" s="406"/>
    </row>
    <row r="74" spans="1:7" ht="13.15" customHeight="1">
      <c r="A74" s="406" t="s">
        <v>563</v>
      </c>
      <c r="B74" s="406">
        <v>192694340.92000002</v>
      </c>
      <c r="C74" s="406">
        <v>10563925</v>
      </c>
      <c r="D74" s="406">
        <v>6958497</v>
      </c>
      <c r="E74" s="406">
        <v>36913574.789999999</v>
      </c>
      <c r="F74" s="406">
        <v>138258344.13</v>
      </c>
      <c r="G74" s="406">
        <v>9969078.3699999992</v>
      </c>
    </row>
    <row r="75" spans="1:7" ht="13.15" customHeight="1">
      <c r="A75" s="406" t="s">
        <v>567</v>
      </c>
      <c r="B75" s="406">
        <v>216853796.81</v>
      </c>
      <c r="C75" s="406">
        <v>15135865</v>
      </c>
      <c r="D75" s="406">
        <v>10013788</v>
      </c>
      <c r="E75" s="406">
        <v>54083383.850000001</v>
      </c>
      <c r="F75" s="406">
        <v>137620759.95999998</v>
      </c>
      <c r="G75" s="406">
        <v>10833619.6</v>
      </c>
    </row>
    <row r="76" spans="1:7" ht="13.15" customHeight="1">
      <c r="A76" s="406" t="s">
        <v>571</v>
      </c>
      <c r="B76" s="406">
        <v>11363883363.940001</v>
      </c>
      <c r="C76" s="406">
        <v>338642411.03000003</v>
      </c>
      <c r="D76" s="406">
        <v>224140236.53</v>
      </c>
      <c r="E76" s="406">
        <v>1277452927.5900002</v>
      </c>
      <c r="F76" s="406">
        <v>9523647788.7900009</v>
      </c>
      <c r="G76" s="406">
        <v>614409498.78999984</v>
      </c>
    </row>
    <row r="77" spans="1:7" ht="13.15" customHeight="1">
      <c r="A77" s="406" t="s">
        <v>575</v>
      </c>
      <c r="B77" s="406">
        <v>504656994.03999996</v>
      </c>
      <c r="C77" s="406">
        <v>30028888.559999999</v>
      </c>
      <c r="D77" s="406">
        <v>19877020</v>
      </c>
      <c r="E77" s="406">
        <v>109755364.91000001</v>
      </c>
      <c r="F77" s="406">
        <v>344995720.56999999</v>
      </c>
      <c r="G77" s="406">
        <v>25688282.200000003</v>
      </c>
    </row>
    <row r="78" spans="1:7" ht="13.15" customHeight="1">
      <c r="A78" s="406" t="s">
        <v>579</v>
      </c>
      <c r="B78" s="406">
        <v>124857669.93000001</v>
      </c>
      <c r="C78" s="406">
        <v>8929254</v>
      </c>
      <c r="D78" s="406">
        <v>5916720</v>
      </c>
      <c r="E78" s="406">
        <v>31233840.329999998</v>
      </c>
      <c r="F78" s="406">
        <v>78777855.599999994</v>
      </c>
      <c r="G78" s="406">
        <v>6251260.9400000004</v>
      </c>
    </row>
    <row r="79" spans="1:7" ht="10.7" customHeight="1">
      <c r="A79" s="406"/>
      <c r="C79" s="406"/>
      <c r="D79" s="406"/>
      <c r="E79" s="406"/>
      <c r="F79" s="406"/>
      <c r="G79" s="406"/>
    </row>
    <row r="80" spans="1:7" ht="13.15" customHeight="1">
      <c r="A80" s="406" t="s">
        <v>583</v>
      </c>
      <c r="B80" s="406">
        <v>195188450.88000003</v>
      </c>
      <c r="C80" s="406">
        <v>11126043.68</v>
      </c>
      <c r="D80" s="406">
        <v>7357554</v>
      </c>
      <c r="E80" s="406">
        <v>40515316.209999993</v>
      </c>
      <c r="F80" s="406">
        <v>136189536.99000001</v>
      </c>
      <c r="G80" s="406">
        <v>9967630.8400000017</v>
      </c>
    </row>
    <row r="81" spans="1:8" ht="13.15" customHeight="1">
      <c r="A81" s="406" t="s">
        <v>585</v>
      </c>
      <c r="B81" s="406">
        <v>151117667.44</v>
      </c>
      <c r="C81" s="406">
        <v>7888738</v>
      </c>
      <c r="D81" s="406">
        <v>5226868.17</v>
      </c>
      <c r="E81" s="406">
        <v>28660973.550000001</v>
      </c>
      <c r="F81" s="406">
        <v>109341087.72</v>
      </c>
      <c r="G81" s="406">
        <v>7812614.2899999991</v>
      </c>
    </row>
    <row r="82" spans="1:8" ht="13.15" customHeight="1">
      <c r="A82" s="406" t="s">
        <v>588</v>
      </c>
      <c r="B82" s="406">
        <v>338231912.12</v>
      </c>
      <c r="C82" s="406">
        <v>25454459.619999997</v>
      </c>
      <c r="D82" s="406">
        <v>16765899.359999999</v>
      </c>
      <c r="E82" s="406">
        <v>87373451.75999999</v>
      </c>
      <c r="F82" s="406">
        <v>208638101.38</v>
      </c>
      <c r="G82" s="406">
        <v>16830451.280000001</v>
      </c>
    </row>
    <row r="83" spans="1:8" ht="13.15" customHeight="1">
      <c r="A83" s="419" t="s">
        <v>591</v>
      </c>
      <c r="B83" s="419">
        <v>168888769.25</v>
      </c>
      <c r="C83" s="419">
        <v>9138631.6400000006</v>
      </c>
      <c r="D83" s="419">
        <v>6027162</v>
      </c>
      <c r="E83" s="419">
        <v>32702623.649999999</v>
      </c>
      <c r="F83" s="419">
        <v>121020351.96000001</v>
      </c>
      <c r="G83" s="419">
        <v>8710053.3100000005</v>
      </c>
    </row>
    <row r="84" spans="1:8" ht="13.15" customHeight="1">
      <c r="A84" s="419" t="s">
        <v>594</v>
      </c>
      <c r="B84" s="419">
        <v>1321249689.8400002</v>
      </c>
      <c r="C84" s="419">
        <v>69948833.389999986</v>
      </c>
      <c r="D84" s="419">
        <v>46243996.359999999</v>
      </c>
      <c r="E84" s="419">
        <v>253512679.82999998</v>
      </c>
      <c r="F84" s="419">
        <v>951544180.25999999</v>
      </c>
      <c r="G84" s="419">
        <v>68301531.520000011</v>
      </c>
      <c r="H84" s="431"/>
    </row>
    <row r="85" spans="1:8" s="450" customFormat="1" ht="18">
      <c r="A85" s="447" t="s">
        <v>849</v>
      </c>
      <c r="B85" s="448"/>
      <c r="C85" s="448"/>
      <c r="D85" s="448"/>
      <c r="E85" s="448"/>
      <c r="F85" s="448"/>
      <c r="G85" s="448"/>
      <c r="H85" s="449"/>
    </row>
    <row r="86" spans="1:8" ht="15.75">
      <c r="A86" s="430" t="s">
        <v>838</v>
      </c>
      <c r="B86" s="429"/>
      <c r="C86" s="429"/>
      <c r="D86" s="429"/>
      <c r="E86" s="429"/>
      <c r="F86" s="429"/>
      <c r="G86" s="429"/>
    </row>
    <row r="87" spans="1:8" ht="15.75">
      <c r="A87" s="430" t="str">
        <f>A3</f>
        <v>Taxable Year 2010</v>
      </c>
      <c r="B87" s="428"/>
      <c r="C87" s="428"/>
      <c r="D87" s="428"/>
      <c r="E87" s="428"/>
      <c r="F87" s="428"/>
      <c r="G87" s="428"/>
    </row>
    <row r="88" spans="1:8" ht="13.15" customHeight="1" thickBot="1">
      <c r="A88" s="431"/>
      <c r="B88" s="429"/>
      <c r="C88" s="429"/>
      <c r="D88" s="429"/>
      <c r="E88" s="429"/>
      <c r="F88" s="429"/>
      <c r="G88" s="429"/>
    </row>
    <row r="89" spans="1:8">
      <c r="A89" s="446"/>
      <c r="B89" s="446" t="s">
        <v>839</v>
      </c>
      <c r="C89" s="446" t="s">
        <v>840</v>
      </c>
      <c r="D89" s="446" t="s">
        <v>841</v>
      </c>
      <c r="E89" s="446" t="s">
        <v>841</v>
      </c>
      <c r="F89" s="446" t="s">
        <v>841</v>
      </c>
      <c r="G89" s="446" t="s">
        <v>842</v>
      </c>
      <c r="H89" s="431"/>
    </row>
    <row r="90" spans="1:8" ht="13.15" customHeight="1">
      <c r="A90" s="432" t="s">
        <v>33</v>
      </c>
      <c r="B90" s="432" t="s">
        <v>843</v>
      </c>
      <c r="C90" s="432" t="s">
        <v>844</v>
      </c>
      <c r="D90" s="432" t="s">
        <v>845</v>
      </c>
      <c r="E90" s="432" t="s">
        <v>846</v>
      </c>
      <c r="F90" s="432" t="s">
        <v>847</v>
      </c>
      <c r="G90" s="432" t="s">
        <v>848</v>
      </c>
    </row>
    <row r="91" spans="1:8" ht="10.7" customHeight="1">
      <c r="A91" s="419"/>
      <c r="B91" s="429"/>
      <c r="C91" s="429"/>
      <c r="D91" s="429"/>
      <c r="E91" s="429"/>
      <c r="F91" s="429"/>
      <c r="G91" s="429"/>
    </row>
    <row r="92" spans="1:8" ht="13.15" customHeight="1">
      <c r="A92" s="406" t="s">
        <v>596</v>
      </c>
      <c r="B92" s="451">
        <v>236531733.72999999</v>
      </c>
      <c r="C92" s="451">
        <v>13899317.77</v>
      </c>
      <c r="D92" s="451">
        <v>9193312.8599999994</v>
      </c>
      <c r="E92" s="451">
        <v>50615428.609999999</v>
      </c>
      <c r="F92" s="451">
        <v>162823674.49000001</v>
      </c>
      <c r="G92" s="451">
        <v>12070711.970000001</v>
      </c>
    </row>
    <row r="93" spans="1:8" ht="13.15" customHeight="1">
      <c r="A93" s="406" t="s">
        <v>599</v>
      </c>
      <c r="B93" s="452">
        <v>402495012.01999998</v>
      </c>
      <c r="C93" s="452">
        <v>18934789.52</v>
      </c>
      <c r="D93" s="452">
        <v>12523703</v>
      </c>
      <c r="E93" s="452">
        <v>70516475.370000005</v>
      </c>
      <c r="F93" s="452">
        <v>300520044.13</v>
      </c>
      <c r="G93" s="452">
        <v>20909395.84</v>
      </c>
    </row>
    <row r="94" spans="1:8" ht="13.15" customHeight="1">
      <c r="A94" s="406" t="s">
        <v>601</v>
      </c>
      <c r="B94" s="452">
        <v>163272636.45000002</v>
      </c>
      <c r="C94" s="452">
        <v>10372428.379999999</v>
      </c>
      <c r="D94" s="452">
        <v>6826687.7300000004</v>
      </c>
      <c r="E94" s="452">
        <v>35395227.600000001</v>
      </c>
      <c r="F94" s="452">
        <v>110678292.73999999</v>
      </c>
      <c r="G94" s="452">
        <v>8341681.6600000001</v>
      </c>
    </row>
    <row r="95" spans="1:8" ht="13.15" customHeight="1">
      <c r="A95" s="406" t="s">
        <v>604</v>
      </c>
      <c r="B95" s="452">
        <v>184623368.34999999</v>
      </c>
      <c r="C95" s="452">
        <v>11073773</v>
      </c>
      <c r="D95" s="452">
        <v>7306755.1900000004</v>
      </c>
      <c r="E95" s="452">
        <v>39245588.170000002</v>
      </c>
      <c r="F95" s="452">
        <v>126997251.98999999</v>
      </c>
      <c r="G95" s="452">
        <v>9427298.6400000006</v>
      </c>
    </row>
    <row r="96" spans="1:8" ht="13.15" customHeight="1">
      <c r="A96" s="406" t="s">
        <v>607</v>
      </c>
      <c r="B96" s="452">
        <v>158790627.16999999</v>
      </c>
      <c r="C96" s="452">
        <v>11596941.719999999</v>
      </c>
      <c r="D96" s="452">
        <v>7679183</v>
      </c>
      <c r="E96" s="452">
        <v>40896434.899999999</v>
      </c>
      <c r="F96" s="452">
        <v>98618067.549999997</v>
      </c>
      <c r="G96" s="452">
        <v>7929472.6500000013</v>
      </c>
    </row>
    <row r="97" spans="1:7" ht="10.7" customHeight="1">
      <c r="A97" s="406"/>
      <c r="C97" s="406"/>
      <c r="D97" s="406"/>
      <c r="E97" s="406"/>
      <c r="F97" s="406"/>
      <c r="G97" s="406"/>
    </row>
    <row r="98" spans="1:7" ht="13.15" customHeight="1">
      <c r="A98" s="406" t="s">
        <v>610</v>
      </c>
      <c r="B98" s="452">
        <v>550839558.99000001</v>
      </c>
      <c r="C98" s="452">
        <v>31584862.460000001</v>
      </c>
      <c r="D98" s="452">
        <v>20890224</v>
      </c>
      <c r="E98" s="452">
        <v>115488285.61</v>
      </c>
      <c r="F98" s="452">
        <v>382876186.92000002</v>
      </c>
      <c r="G98" s="452">
        <v>28212975.880000003</v>
      </c>
    </row>
    <row r="99" spans="1:7" ht="13.15" customHeight="1">
      <c r="A99" s="406" t="s">
        <v>613</v>
      </c>
      <c r="B99" s="452">
        <v>392166048.20999998</v>
      </c>
      <c r="C99" s="452">
        <v>19920954.23</v>
      </c>
      <c r="D99" s="452">
        <v>13224944</v>
      </c>
      <c r="E99" s="452">
        <v>72007904.150000006</v>
      </c>
      <c r="F99" s="452">
        <v>287012245.82999998</v>
      </c>
      <c r="G99" s="452">
        <v>20382081.649999999</v>
      </c>
    </row>
    <row r="100" spans="1:7" ht="13.15" customHeight="1">
      <c r="A100" s="406" t="s">
        <v>616</v>
      </c>
      <c r="B100" s="452">
        <v>164836515.56</v>
      </c>
      <c r="C100" s="452">
        <v>12852521.210000001</v>
      </c>
      <c r="D100" s="452">
        <v>8461089.120000001</v>
      </c>
      <c r="E100" s="452">
        <v>45007821.590000004</v>
      </c>
      <c r="F100" s="452">
        <v>98515083.640000001</v>
      </c>
      <c r="G100" s="452">
        <v>8074209.2400000002</v>
      </c>
    </row>
    <row r="101" spans="1:7" ht="13.15" customHeight="1">
      <c r="A101" s="406" t="s">
        <v>619</v>
      </c>
      <c r="B101" s="452">
        <v>728891120.48000002</v>
      </c>
      <c r="C101" s="452">
        <v>51768772.269999996</v>
      </c>
      <c r="D101" s="452">
        <v>34244417</v>
      </c>
      <c r="E101" s="452">
        <v>184904543.85999998</v>
      </c>
      <c r="F101" s="452">
        <v>457973387.35000002</v>
      </c>
      <c r="G101" s="452">
        <v>36270381.729999997</v>
      </c>
    </row>
    <row r="102" spans="1:7" ht="13.15" customHeight="1">
      <c r="A102" s="406" t="s">
        <v>622</v>
      </c>
      <c r="B102" s="452">
        <v>583147167.17000008</v>
      </c>
      <c r="C102" s="452">
        <v>25163004.440000001</v>
      </c>
      <c r="D102" s="452">
        <v>16675158.279999999</v>
      </c>
      <c r="E102" s="452">
        <v>93959161.489999995</v>
      </c>
      <c r="F102" s="452">
        <v>447349842.96000004</v>
      </c>
      <c r="G102" s="452">
        <v>30552921.539999995</v>
      </c>
    </row>
    <row r="103" spans="1:7" ht="10.7" customHeight="1">
      <c r="A103" s="406"/>
      <c r="C103" s="406"/>
      <c r="D103" s="406"/>
      <c r="E103" s="406"/>
      <c r="F103" s="406"/>
      <c r="G103" s="406"/>
    </row>
    <row r="104" spans="1:7" ht="13.15" customHeight="1">
      <c r="A104" s="406" t="s">
        <v>625</v>
      </c>
      <c r="B104" s="452">
        <v>205566192.98999998</v>
      </c>
      <c r="C104" s="452">
        <v>14854307</v>
      </c>
      <c r="D104" s="452">
        <v>9818396</v>
      </c>
      <c r="E104" s="452">
        <v>51598231.709999993</v>
      </c>
      <c r="F104" s="452">
        <v>129295258.28</v>
      </c>
      <c r="G104" s="452">
        <v>10292958.93</v>
      </c>
    </row>
    <row r="105" spans="1:7" ht="13.15" customHeight="1">
      <c r="A105" s="406" t="s">
        <v>627</v>
      </c>
      <c r="B105" s="452">
        <v>487697855.20999998</v>
      </c>
      <c r="C105" s="452">
        <v>27289382.859999999</v>
      </c>
      <c r="D105" s="452">
        <v>18021670</v>
      </c>
      <c r="E105" s="452">
        <v>99318774.320000008</v>
      </c>
      <c r="F105" s="452">
        <v>343068028.02999997</v>
      </c>
      <c r="G105" s="452">
        <v>25008393.66</v>
      </c>
    </row>
    <row r="106" spans="1:7" ht="13.15" customHeight="1">
      <c r="A106" s="406" t="s">
        <v>630</v>
      </c>
      <c r="B106" s="452">
        <v>9464171256.6900024</v>
      </c>
      <c r="C106" s="452">
        <v>422500940.81</v>
      </c>
      <c r="D106" s="452">
        <v>279665467.49000001</v>
      </c>
      <c r="E106" s="452">
        <v>1554443214.76</v>
      </c>
      <c r="F106" s="452">
        <v>7207561633.6300011</v>
      </c>
      <c r="G106" s="452">
        <v>498342739.73000014</v>
      </c>
    </row>
    <row r="107" spans="1:7" ht="13.15" customHeight="1">
      <c r="A107" s="406" t="s">
        <v>632</v>
      </c>
      <c r="B107" s="452">
        <v>407962397.56</v>
      </c>
      <c r="C107" s="452">
        <v>27188475.600000001</v>
      </c>
      <c r="D107" s="452">
        <v>18031672</v>
      </c>
      <c r="E107" s="452">
        <v>98603777.010000005</v>
      </c>
      <c r="F107" s="452">
        <v>264138472.94999999</v>
      </c>
      <c r="G107" s="452">
        <v>20435795</v>
      </c>
    </row>
    <row r="108" spans="1:7" ht="13.15" customHeight="1">
      <c r="A108" s="406" t="s">
        <v>635</v>
      </c>
      <c r="B108" s="452">
        <v>174804346.61000001</v>
      </c>
      <c r="C108" s="452">
        <v>7286951</v>
      </c>
      <c r="D108" s="452">
        <v>4805180</v>
      </c>
      <c r="E108" s="452">
        <v>26713259.98</v>
      </c>
      <c r="F108" s="452">
        <v>135998955.63</v>
      </c>
      <c r="G108" s="452">
        <v>9256528.3100000005</v>
      </c>
    </row>
    <row r="109" spans="1:7" ht="10.7" customHeight="1">
      <c r="A109" s="406"/>
      <c r="C109" s="406"/>
      <c r="D109" s="406"/>
      <c r="E109" s="406"/>
      <c r="F109" s="406"/>
      <c r="G109" s="406"/>
    </row>
    <row r="110" spans="1:7" ht="13.15" customHeight="1">
      <c r="A110" s="406" t="s">
        <v>565</v>
      </c>
      <c r="B110" s="452">
        <v>150828335.34999999</v>
      </c>
      <c r="C110" s="452">
        <v>10452097.589999998</v>
      </c>
      <c r="D110" s="452">
        <v>6470628.6000000006</v>
      </c>
      <c r="E110" s="452">
        <v>31938192.75</v>
      </c>
      <c r="F110" s="452">
        <v>101967416.41000001</v>
      </c>
      <c r="G110" s="452">
        <v>7698997.2300000004</v>
      </c>
    </row>
    <row r="111" spans="1:7" ht="13.15" customHeight="1">
      <c r="A111" s="406" t="s">
        <v>569</v>
      </c>
      <c r="B111" s="452">
        <v>1899591460.7400002</v>
      </c>
      <c r="C111" s="452">
        <v>90143775.060000002</v>
      </c>
      <c r="D111" s="452">
        <v>59522725.880000003</v>
      </c>
      <c r="E111" s="452">
        <v>331486500.73000002</v>
      </c>
      <c r="F111" s="452">
        <v>1418438459.0700002</v>
      </c>
      <c r="G111" s="452">
        <v>98909152.030000001</v>
      </c>
    </row>
    <row r="112" spans="1:7" ht="13.15" customHeight="1">
      <c r="A112" s="406" t="s">
        <v>642</v>
      </c>
      <c r="B112" s="452">
        <v>291806623.55000001</v>
      </c>
      <c r="C112" s="452">
        <v>18132036.640000001</v>
      </c>
      <c r="D112" s="452">
        <v>12005809.66</v>
      </c>
      <c r="E112" s="452">
        <v>65561228.880000003</v>
      </c>
      <c r="F112" s="452">
        <v>196107548.37</v>
      </c>
      <c r="G112" s="452">
        <v>14759569.510000002</v>
      </c>
    </row>
    <row r="113" spans="1:8" ht="13.15" customHeight="1">
      <c r="A113" s="406" t="s">
        <v>645</v>
      </c>
      <c r="B113" s="452">
        <v>1163372526.9200001</v>
      </c>
      <c r="C113" s="452">
        <v>71777109.799999997</v>
      </c>
      <c r="D113" s="452">
        <v>47572499.550000004</v>
      </c>
      <c r="E113" s="452">
        <v>262467488.98000002</v>
      </c>
      <c r="F113" s="452">
        <v>781555428.59000003</v>
      </c>
      <c r="G113" s="452">
        <v>58770227.560000002</v>
      </c>
    </row>
    <row r="114" spans="1:8" ht="13.15" customHeight="1">
      <c r="A114" s="406" t="s">
        <v>648</v>
      </c>
      <c r="B114" s="452">
        <v>313858268.88999999</v>
      </c>
      <c r="C114" s="452">
        <v>20405530.670000002</v>
      </c>
      <c r="D114" s="452">
        <v>13530069.699999999</v>
      </c>
      <c r="E114" s="452">
        <v>74743349.600000024</v>
      </c>
      <c r="F114" s="452">
        <v>205179318.92000002</v>
      </c>
      <c r="G114" s="452">
        <v>15785517.190000001</v>
      </c>
    </row>
    <row r="115" spans="1:8" ht="10.7" customHeight="1">
      <c r="A115" s="406"/>
      <c r="B115" s="438"/>
      <c r="C115" s="438"/>
      <c r="D115" s="438"/>
      <c r="E115" s="438"/>
      <c r="F115" s="438"/>
      <c r="G115" s="438"/>
    </row>
    <row r="116" spans="1:8" ht="13.15" customHeight="1">
      <c r="A116" s="406" t="s">
        <v>524</v>
      </c>
      <c r="B116" s="406">
        <v>241702057.04999998</v>
      </c>
      <c r="C116" s="406">
        <v>17136563.019999996</v>
      </c>
      <c r="D116" s="406">
        <v>11231845.199999999</v>
      </c>
      <c r="E116" s="406">
        <v>60613605.609999999</v>
      </c>
      <c r="F116" s="406">
        <v>152720043.22000003</v>
      </c>
      <c r="G116" s="406">
        <v>12050446.639999999</v>
      </c>
    </row>
    <row r="117" spans="1:8" ht="13.15" customHeight="1">
      <c r="A117" s="406" t="s">
        <v>528</v>
      </c>
      <c r="B117" s="406">
        <v>585830428.56999993</v>
      </c>
      <c r="C117" s="406">
        <v>38602466</v>
      </c>
      <c r="D117" s="406">
        <v>25568207.75</v>
      </c>
      <c r="E117" s="406">
        <v>139695164.84999999</v>
      </c>
      <c r="F117" s="406">
        <v>381964589.97000003</v>
      </c>
      <c r="G117" s="406">
        <v>29441544.5</v>
      </c>
    </row>
    <row r="118" spans="1:8" ht="13.15" customHeight="1">
      <c r="A118" s="406" t="s">
        <v>532</v>
      </c>
      <c r="B118" s="406">
        <v>322747319.26999998</v>
      </c>
      <c r="C118" s="406">
        <v>24212348.789999999</v>
      </c>
      <c r="D118" s="406">
        <v>16057427.77</v>
      </c>
      <c r="E118" s="406">
        <v>86897600.959999993</v>
      </c>
      <c r="F118" s="406">
        <v>195579941.75</v>
      </c>
      <c r="G118" s="406">
        <v>15891904.880000003</v>
      </c>
    </row>
    <row r="119" spans="1:8" ht="13.15" customHeight="1">
      <c r="A119" s="406" t="s">
        <v>536</v>
      </c>
      <c r="B119" s="406">
        <v>246072371.90999997</v>
      </c>
      <c r="C119" s="406">
        <v>15985512.800000001</v>
      </c>
      <c r="D119" s="406">
        <v>10562648</v>
      </c>
      <c r="E119" s="406">
        <v>56942202.369999997</v>
      </c>
      <c r="F119" s="406">
        <v>162582008.74000001</v>
      </c>
      <c r="G119" s="406">
        <v>12413694.789999999</v>
      </c>
    </row>
    <row r="120" spans="1:8" ht="13.15" customHeight="1">
      <c r="A120" s="406" t="s">
        <v>540</v>
      </c>
      <c r="B120" s="406">
        <v>2463096908.1900001</v>
      </c>
      <c r="C120" s="406">
        <v>118288108.77000001</v>
      </c>
      <c r="D120" s="406">
        <v>78370412.569999993</v>
      </c>
      <c r="E120" s="406">
        <v>435249827.77999997</v>
      </c>
      <c r="F120" s="406">
        <v>1831188559.0699999</v>
      </c>
      <c r="G120" s="406">
        <v>128578426.02000001</v>
      </c>
    </row>
    <row r="121" spans="1:8" ht="10.7" customHeight="1">
      <c r="A121" s="406"/>
      <c r="C121" s="406"/>
      <c r="D121" s="406"/>
      <c r="E121" s="406"/>
      <c r="F121" s="406"/>
      <c r="G121" s="406"/>
    </row>
    <row r="122" spans="1:8" ht="13.15" customHeight="1">
      <c r="A122" s="406" t="s">
        <v>544</v>
      </c>
      <c r="B122" s="406">
        <v>2861858681.6999993</v>
      </c>
      <c r="C122" s="406">
        <v>117826826.28</v>
      </c>
      <c r="D122" s="406">
        <v>78040589.720000014</v>
      </c>
      <c r="E122" s="406">
        <v>438594848.04000008</v>
      </c>
      <c r="F122" s="406">
        <v>2227396417.6600003</v>
      </c>
      <c r="G122" s="406">
        <v>151305641.92999995</v>
      </c>
    </row>
    <row r="123" spans="1:8" ht="13.15" customHeight="1">
      <c r="A123" s="406" t="s">
        <v>548</v>
      </c>
      <c r="B123" s="406">
        <v>95495164.650000006</v>
      </c>
      <c r="C123" s="406">
        <v>7063870</v>
      </c>
      <c r="D123" s="406">
        <v>4619185</v>
      </c>
      <c r="E123" s="406">
        <v>24164042.640000004</v>
      </c>
      <c r="F123" s="406">
        <v>59648067.009999998</v>
      </c>
      <c r="G123" s="406">
        <v>4768409.92</v>
      </c>
    </row>
    <row r="124" spans="1:8" ht="13.15" customHeight="1">
      <c r="A124" s="406" t="s">
        <v>552</v>
      </c>
      <c r="B124" s="406">
        <v>115821149.39999999</v>
      </c>
      <c r="C124" s="406">
        <v>8402529.8499999996</v>
      </c>
      <c r="D124" s="406">
        <v>5541452</v>
      </c>
      <c r="E124" s="406">
        <v>29719498.990000002</v>
      </c>
      <c r="F124" s="406">
        <v>72157668.560000002</v>
      </c>
      <c r="G124" s="406">
        <v>5810537.419999999</v>
      </c>
    </row>
    <row r="125" spans="1:8" ht="13.15" customHeight="1">
      <c r="A125" s="419" t="s">
        <v>556</v>
      </c>
      <c r="B125" s="419">
        <v>633969602.09000015</v>
      </c>
      <c r="C125" s="419">
        <v>33327246.34</v>
      </c>
      <c r="D125" s="419">
        <v>22107372</v>
      </c>
      <c r="E125" s="419">
        <v>121255005.76000001</v>
      </c>
      <c r="F125" s="419">
        <v>457279977.99000001</v>
      </c>
      <c r="G125" s="419">
        <v>32787478.760000002</v>
      </c>
    </row>
    <row r="126" spans="1:8" ht="13.15" customHeight="1">
      <c r="A126" s="419" t="s">
        <v>560</v>
      </c>
      <c r="B126" s="419">
        <v>616965814</v>
      </c>
      <c r="C126" s="419">
        <v>35130050.850000001</v>
      </c>
      <c r="D126" s="419">
        <v>23240295.240000002</v>
      </c>
      <c r="E126" s="419">
        <v>128084850.97</v>
      </c>
      <c r="F126" s="419">
        <v>430510616.94</v>
      </c>
      <c r="G126" s="419">
        <v>31681749.310000002</v>
      </c>
      <c r="H126" s="431"/>
    </row>
    <row r="127" spans="1:8" ht="18">
      <c r="A127" s="447" t="s">
        <v>849</v>
      </c>
      <c r="B127" s="429"/>
      <c r="C127" s="429"/>
      <c r="D127" s="429"/>
      <c r="E127" s="429"/>
      <c r="F127" s="429"/>
      <c r="G127" s="429"/>
      <c r="H127" s="431"/>
    </row>
    <row r="128" spans="1:8" ht="15.75">
      <c r="A128" s="430" t="s">
        <v>838</v>
      </c>
      <c r="B128" s="429"/>
      <c r="C128" s="429"/>
      <c r="D128" s="429"/>
      <c r="E128" s="429"/>
      <c r="F128" s="429"/>
      <c r="G128" s="429"/>
    </row>
    <row r="129" spans="1:8" ht="15.75">
      <c r="A129" s="430" t="str">
        <f>A3</f>
        <v>Taxable Year 2010</v>
      </c>
      <c r="B129" s="428"/>
      <c r="C129" s="428"/>
      <c r="D129" s="428"/>
      <c r="E129" s="428"/>
      <c r="F129" s="428"/>
      <c r="G129" s="428"/>
    </row>
    <row r="130" spans="1:8" ht="13.15" customHeight="1" thickBot="1">
      <c r="A130" s="431"/>
      <c r="B130" s="429"/>
      <c r="C130" s="429"/>
      <c r="D130" s="429"/>
      <c r="E130" s="429"/>
      <c r="F130" s="429"/>
      <c r="G130" s="429"/>
    </row>
    <row r="131" spans="1:8">
      <c r="A131" s="446"/>
      <c r="B131" s="446" t="s">
        <v>839</v>
      </c>
      <c r="C131" s="446" t="s">
        <v>840</v>
      </c>
      <c r="D131" s="446" t="s">
        <v>841</v>
      </c>
      <c r="E131" s="446" t="s">
        <v>841</v>
      </c>
      <c r="F131" s="446" t="s">
        <v>841</v>
      </c>
      <c r="G131" s="446" t="s">
        <v>842</v>
      </c>
      <c r="H131" s="431"/>
    </row>
    <row r="132" spans="1:8" ht="13.15" customHeight="1">
      <c r="A132" s="432" t="s">
        <v>33</v>
      </c>
      <c r="B132" s="432" t="s">
        <v>843</v>
      </c>
      <c r="C132" s="432" t="s">
        <v>844</v>
      </c>
      <c r="D132" s="432" t="s">
        <v>845</v>
      </c>
      <c r="E132" s="432" t="s">
        <v>846</v>
      </c>
      <c r="F132" s="432" t="s">
        <v>847</v>
      </c>
      <c r="G132" s="432" t="s">
        <v>848</v>
      </c>
    </row>
    <row r="133" spans="1:8" ht="10.7" customHeight="1">
      <c r="A133" s="419"/>
      <c r="B133" s="429"/>
      <c r="C133" s="429"/>
      <c r="D133" s="429"/>
      <c r="E133" s="429"/>
      <c r="F133" s="429"/>
      <c r="G133" s="429"/>
    </row>
    <row r="134" spans="1:8" ht="13.15" customHeight="1">
      <c r="A134" s="406" t="s">
        <v>564</v>
      </c>
      <c r="B134" s="960">
        <v>1037724156.1999998</v>
      </c>
      <c r="C134" s="960">
        <v>48579982.560000002</v>
      </c>
      <c r="D134" s="960">
        <v>31880248.439999998</v>
      </c>
      <c r="E134" s="960">
        <v>173339518.25999999</v>
      </c>
      <c r="F134" s="960">
        <v>783924406.93999982</v>
      </c>
      <c r="G134" s="960">
        <v>54431123.719999999</v>
      </c>
    </row>
    <row r="135" spans="1:8" ht="13.15" customHeight="1">
      <c r="A135" s="406" t="s">
        <v>568</v>
      </c>
      <c r="B135" s="406">
        <v>230277696.19999999</v>
      </c>
      <c r="C135" s="406">
        <v>15024495.970000001</v>
      </c>
      <c r="D135" s="406">
        <v>9929547.5</v>
      </c>
      <c r="E135" s="406">
        <v>52779746.399999999</v>
      </c>
      <c r="F135" s="406">
        <v>152543906.32999998</v>
      </c>
      <c r="G135" s="406">
        <v>11690070.259999998</v>
      </c>
    </row>
    <row r="136" spans="1:8" ht="13.15" customHeight="1">
      <c r="A136" s="406" t="s">
        <v>572</v>
      </c>
      <c r="B136" s="406">
        <v>481293339.96999991</v>
      </c>
      <c r="C136" s="406">
        <v>28362158.82</v>
      </c>
      <c r="D136" s="406">
        <v>18761721</v>
      </c>
      <c r="E136" s="406">
        <v>103073022.58</v>
      </c>
      <c r="F136" s="406">
        <v>331096437.56999999</v>
      </c>
      <c r="G136" s="406">
        <v>24621893.439999998</v>
      </c>
    </row>
    <row r="137" spans="1:8" ht="13.15" customHeight="1">
      <c r="A137" s="406" t="s">
        <v>576</v>
      </c>
      <c r="B137" s="406">
        <v>324070903.82999998</v>
      </c>
      <c r="C137" s="406">
        <v>22867038.780000001</v>
      </c>
      <c r="D137" s="406">
        <v>15133487</v>
      </c>
      <c r="E137" s="406">
        <v>81969095.829999998</v>
      </c>
      <c r="F137" s="406">
        <v>204101282.22000003</v>
      </c>
      <c r="G137" s="406">
        <v>16102153.910000002</v>
      </c>
    </row>
    <row r="138" spans="1:8" ht="13.15" customHeight="1">
      <c r="A138" s="419" t="s">
        <v>580</v>
      </c>
      <c r="B138" s="406">
        <v>1375846989.5500002</v>
      </c>
      <c r="C138" s="406">
        <v>58085095.859999999</v>
      </c>
      <c r="D138" s="406">
        <v>38404938</v>
      </c>
      <c r="E138" s="406">
        <v>214568178.12999997</v>
      </c>
      <c r="F138" s="406">
        <v>1064788777.5599999</v>
      </c>
      <c r="G138" s="406">
        <v>72469448.519999996</v>
      </c>
    </row>
    <row r="139" spans="1:8" ht="10.7" customHeight="1">
      <c r="A139" s="419"/>
      <c r="C139" s="406"/>
      <c r="D139" s="406"/>
      <c r="E139" s="406"/>
      <c r="F139" s="406"/>
      <c r="G139" s="406"/>
    </row>
    <row r="140" spans="1:8" ht="13.15" customHeight="1">
      <c r="A140" s="442" t="s">
        <v>34</v>
      </c>
      <c r="B140" s="420">
        <f t="shared" ref="B140:G140" si="0">SUM(B8:B138)</f>
        <v>134011623874.54001</v>
      </c>
      <c r="C140" s="420">
        <f t="shared" si="0"/>
        <v>5431732805.3500023</v>
      </c>
      <c r="D140" s="420">
        <f t="shared" si="0"/>
        <v>3592380914.0100007</v>
      </c>
      <c r="E140" s="420">
        <f t="shared" si="0"/>
        <v>19963657027.300003</v>
      </c>
      <c r="F140" s="420">
        <f t="shared" si="0"/>
        <v>105023853127.88011</v>
      </c>
      <c r="G140" s="420">
        <f t="shared" si="0"/>
        <v>7108752725.3400021</v>
      </c>
    </row>
    <row r="141" spans="1:8" ht="13.15" customHeight="1">
      <c r="A141" s="436"/>
      <c r="B141" s="441"/>
      <c r="C141" s="441"/>
      <c r="D141" s="441"/>
      <c r="E141" s="441"/>
      <c r="F141" s="441"/>
      <c r="G141" s="441"/>
    </row>
    <row r="142" spans="1:8" ht="13.15" customHeight="1" thickBot="1">
      <c r="A142" s="436"/>
      <c r="B142" s="436"/>
      <c r="C142" s="436"/>
      <c r="D142" s="436"/>
      <c r="E142" s="436"/>
      <c r="F142" s="436"/>
      <c r="G142" s="436"/>
    </row>
    <row r="143" spans="1:8">
      <c r="A143" s="446"/>
      <c r="B143" s="446" t="s">
        <v>839</v>
      </c>
      <c r="C143" s="446" t="s">
        <v>840</v>
      </c>
      <c r="D143" s="446" t="s">
        <v>841</v>
      </c>
      <c r="E143" s="446" t="s">
        <v>841</v>
      </c>
      <c r="F143" s="446" t="s">
        <v>841</v>
      </c>
      <c r="G143" s="446" t="s">
        <v>842</v>
      </c>
      <c r="H143" s="431"/>
    </row>
    <row r="144" spans="1:8" ht="13.15" customHeight="1">
      <c r="A144" s="432" t="s">
        <v>35</v>
      </c>
      <c r="B144" s="432" t="s">
        <v>843</v>
      </c>
      <c r="C144" s="432" t="s">
        <v>844</v>
      </c>
      <c r="D144" s="432" t="s">
        <v>845</v>
      </c>
      <c r="E144" s="432" t="s">
        <v>846</v>
      </c>
      <c r="F144" s="432" t="s">
        <v>847</v>
      </c>
      <c r="G144" s="432" t="s">
        <v>848</v>
      </c>
    </row>
    <row r="145" spans="1:7" ht="10.7" customHeight="1">
      <c r="A145" s="437"/>
      <c r="B145" s="437"/>
      <c r="C145" s="437"/>
      <c r="D145" s="437"/>
      <c r="E145" s="437"/>
      <c r="F145" s="437"/>
      <c r="G145" s="437"/>
    </row>
    <row r="146" spans="1:7" ht="13.15" customHeight="1">
      <c r="A146" s="419" t="s">
        <v>597</v>
      </c>
      <c r="B146" s="404">
        <v>5876627138.5999994</v>
      </c>
      <c r="C146" s="404">
        <v>198662134.46000001</v>
      </c>
      <c r="D146" s="404">
        <v>130849979.08000001</v>
      </c>
      <c r="E146" s="404">
        <v>731077892.63999999</v>
      </c>
      <c r="F146" s="404">
        <v>4816037132.4200001</v>
      </c>
      <c r="G146" s="404">
        <v>318235249.12</v>
      </c>
    </row>
    <row r="147" spans="1:7" ht="13.15" customHeight="1">
      <c r="A147" s="406" t="s">
        <v>558</v>
      </c>
      <c r="B147" s="406">
        <v>70392999.379999995</v>
      </c>
      <c r="C147" s="406">
        <v>5223701</v>
      </c>
      <c r="D147" s="406">
        <v>3455558</v>
      </c>
      <c r="E147" s="406">
        <v>18275481.780000001</v>
      </c>
      <c r="F147" s="406">
        <v>43438258.600000001</v>
      </c>
      <c r="G147" s="406">
        <v>3495084.5399999996</v>
      </c>
    </row>
    <row r="148" spans="1:7" ht="13.15" customHeight="1">
      <c r="A148" s="406" t="s">
        <v>602</v>
      </c>
      <c r="B148" s="406">
        <v>292009538.47000009</v>
      </c>
      <c r="C148" s="406">
        <v>24673187.810000002</v>
      </c>
      <c r="D148" s="406">
        <v>15738762.720000001</v>
      </c>
      <c r="E148" s="406">
        <v>78721530.329999983</v>
      </c>
      <c r="F148" s="406">
        <v>172876057.60999995</v>
      </c>
      <c r="G148" s="406">
        <v>14538308.689999998</v>
      </c>
    </row>
    <row r="149" spans="1:7" ht="13.15" customHeight="1">
      <c r="A149" s="406" t="s">
        <v>605</v>
      </c>
      <c r="B149" s="406">
        <v>60525538.859999999</v>
      </c>
      <c r="C149" s="406">
        <v>5261006</v>
      </c>
      <c r="D149" s="406">
        <v>3483961</v>
      </c>
      <c r="E149" s="406">
        <v>18734842.460000001</v>
      </c>
      <c r="F149" s="406">
        <v>33045729.399999999</v>
      </c>
      <c r="G149" s="406">
        <v>2920475.5900000003</v>
      </c>
    </row>
    <row r="150" spans="1:7" ht="13.15" customHeight="1">
      <c r="A150" s="406" t="s">
        <v>608</v>
      </c>
      <c r="B150" s="958">
        <v>1241494740.3600001</v>
      </c>
      <c r="C150" s="958">
        <v>40807390.199999996</v>
      </c>
      <c r="D150" s="958">
        <v>26580671.699999999</v>
      </c>
      <c r="E150" s="958">
        <v>141874381.26000002</v>
      </c>
      <c r="F150" s="958">
        <v>1032232297.2</v>
      </c>
      <c r="G150" s="958">
        <v>67358058.120000005</v>
      </c>
    </row>
    <row r="151" spans="1:7" ht="10.7" customHeight="1">
      <c r="A151" s="406"/>
      <c r="C151" s="406"/>
      <c r="D151" s="406"/>
      <c r="E151" s="406"/>
      <c r="F151" s="406"/>
      <c r="G151" s="406"/>
    </row>
    <row r="152" spans="1:7" ht="13.15" customHeight="1">
      <c r="A152" s="406" t="s">
        <v>611</v>
      </c>
      <c r="B152" s="406">
        <v>3737488073.8599997</v>
      </c>
      <c r="C152" s="406">
        <v>208262049.69</v>
      </c>
      <c r="D152" s="406">
        <v>137461268.62</v>
      </c>
      <c r="E152" s="406">
        <v>746835719.83999979</v>
      </c>
      <c r="F152" s="406">
        <v>2644929035.71</v>
      </c>
      <c r="G152" s="406">
        <v>192396348.62</v>
      </c>
    </row>
    <row r="153" spans="1:7" ht="13.15" customHeight="1">
      <c r="A153" s="406" t="s">
        <v>614</v>
      </c>
      <c r="B153" s="406">
        <v>255194150.69999999</v>
      </c>
      <c r="C153" s="406">
        <v>16905233</v>
      </c>
      <c r="D153" s="406">
        <v>11187888</v>
      </c>
      <c r="E153" s="406">
        <v>60439385.189999998</v>
      </c>
      <c r="F153" s="406">
        <v>166661644.51000002</v>
      </c>
      <c r="G153" s="406">
        <v>12908397.42</v>
      </c>
    </row>
    <row r="154" spans="1:7" ht="13.15" customHeight="1">
      <c r="A154" s="406" t="s">
        <v>617</v>
      </c>
      <c r="B154" s="406">
        <v>63358631.5</v>
      </c>
      <c r="C154" s="406">
        <v>5209833.08</v>
      </c>
      <c r="D154" s="406">
        <v>3419130</v>
      </c>
      <c r="E154" s="406">
        <v>18010697.48</v>
      </c>
      <c r="F154" s="406">
        <v>36718970.939999998</v>
      </c>
      <c r="G154" s="406">
        <v>3111683.4400000004</v>
      </c>
    </row>
    <row r="155" spans="1:7" ht="13.15" customHeight="1">
      <c r="A155" s="406" t="s">
        <v>620</v>
      </c>
      <c r="B155" s="406">
        <v>490231260.89000005</v>
      </c>
      <c r="C155" s="406">
        <v>37991223.269999996</v>
      </c>
      <c r="D155" s="406">
        <v>24868289.950000003</v>
      </c>
      <c r="E155" s="406">
        <v>124723945.57000002</v>
      </c>
      <c r="F155" s="406">
        <v>302647802.10000002</v>
      </c>
      <c r="G155" s="406">
        <v>24596042.020000003</v>
      </c>
    </row>
    <row r="156" spans="1:7" ht="13.15" customHeight="1">
      <c r="A156" s="406" t="s">
        <v>623</v>
      </c>
      <c r="B156" s="406">
        <v>56617101.619999997</v>
      </c>
      <c r="C156" s="406">
        <v>5252108.5399999991</v>
      </c>
      <c r="D156" s="406">
        <v>3412315</v>
      </c>
      <c r="E156" s="406">
        <v>16779169.349999998</v>
      </c>
      <c r="F156" s="406">
        <v>31173508.73</v>
      </c>
      <c r="G156" s="406">
        <v>2787272.41</v>
      </c>
    </row>
    <row r="157" spans="1:7" ht="10.7" customHeight="1">
      <c r="A157" s="406"/>
      <c r="C157" s="406"/>
      <c r="D157" s="406"/>
      <c r="E157" s="406"/>
      <c r="F157" s="406"/>
      <c r="G157" s="406"/>
    </row>
    <row r="158" spans="1:7" ht="13.15" customHeight="1">
      <c r="A158" s="406" t="s">
        <v>618</v>
      </c>
      <c r="B158" s="406">
        <v>824663588.22000003</v>
      </c>
      <c r="C158" s="406">
        <v>32943856.739999998</v>
      </c>
      <c r="D158" s="406">
        <v>21481746.98</v>
      </c>
      <c r="E158" s="406">
        <v>117817996.82000001</v>
      </c>
      <c r="F158" s="406">
        <v>652419987.68000007</v>
      </c>
      <c r="G158" s="406">
        <v>44010656.210000001</v>
      </c>
    </row>
    <row r="159" spans="1:7" ht="13.15" customHeight="1">
      <c r="A159" s="406" t="s">
        <v>628</v>
      </c>
      <c r="B159" s="406">
        <v>613669707.69000006</v>
      </c>
      <c r="C159" s="406">
        <v>17208265.719999999</v>
      </c>
      <c r="D159" s="406">
        <v>11248021.210000001</v>
      </c>
      <c r="E159" s="406">
        <v>63137081.149999991</v>
      </c>
      <c r="F159" s="406">
        <v>522076339.61000007</v>
      </c>
      <c r="G159" s="406">
        <v>33427912.179999996</v>
      </c>
    </row>
    <row r="160" spans="1:7" ht="13.15" customHeight="1">
      <c r="A160" s="406" t="s">
        <v>36</v>
      </c>
      <c r="B160" s="406">
        <v>100194772.32999998</v>
      </c>
      <c r="C160" s="406">
        <v>7329145.2999999998</v>
      </c>
      <c r="D160" s="406">
        <v>4789882.6999999993</v>
      </c>
      <c r="E160" s="406">
        <v>24568232.559999999</v>
      </c>
      <c r="F160" s="406">
        <v>63507511.769999996</v>
      </c>
      <c r="G160" s="406">
        <v>5053249.99</v>
      </c>
    </row>
    <row r="161" spans="1:8" ht="13.15" customHeight="1">
      <c r="A161" s="406" t="s">
        <v>633</v>
      </c>
      <c r="B161" s="406">
        <v>504379414.78999996</v>
      </c>
      <c r="C161" s="406">
        <v>25191294.309999995</v>
      </c>
      <c r="D161" s="406">
        <v>16532284.18</v>
      </c>
      <c r="E161" s="406">
        <v>87938074.950000003</v>
      </c>
      <c r="F161" s="406">
        <v>374717761.34999996</v>
      </c>
      <c r="G161" s="406">
        <v>26539157.899999999</v>
      </c>
    </row>
    <row r="162" spans="1:8" ht="13.15" customHeight="1">
      <c r="A162" s="406" t="s">
        <v>636</v>
      </c>
      <c r="B162" s="406">
        <v>78456779.559999987</v>
      </c>
      <c r="C162" s="406">
        <v>6087867.7600000007</v>
      </c>
      <c r="D162" s="406">
        <v>3966087</v>
      </c>
      <c r="E162" s="406">
        <v>20111391.25</v>
      </c>
      <c r="F162" s="406">
        <v>48291433.550000004</v>
      </c>
      <c r="G162" s="406">
        <v>3905824.55</v>
      </c>
    </row>
    <row r="163" spans="1:8" ht="10.7" customHeight="1">
      <c r="A163" s="406"/>
      <c r="C163" s="406"/>
      <c r="D163" s="406"/>
      <c r="E163" s="406"/>
      <c r="F163" s="406"/>
      <c r="G163" s="406"/>
    </row>
    <row r="164" spans="1:8" ht="13.15" customHeight="1">
      <c r="A164" s="406" t="s">
        <v>638</v>
      </c>
      <c r="B164" s="406">
        <v>1644198113.0800004</v>
      </c>
      <c r="C164" s="406">
        <v>115084933.82000001</v>
      </c>
      <c r="D164" s="406">
        <v>75933341.479999989</v>
      </c>
      <c r="E164" s="406">
        <v>405244483.46999991</v>
      </c>
      <c r="F164" s="406">
        <v>1047935354.3100001</v>
      </c>
      <c r="G164" s="406">
        <v>82904855.299999997</v>
      </c>
    </row>
    <row r="165" spans="1:8" ht="13.15" customHeight="1">
      <c r="A165" s="406" t="s">
        <v>640</v>
      </c>
      <c r="B165" s="406">
        <v>407411290.5</v>
      </c>
      <c r="C165" s="406">
        <v>30213731.68</v>
      </c>
      <c r="D165" s="406">
        <v>19884395</v>
      </c>
      <c r="E165" s="406">
        <v>103355250.82000001</v>
      </c>
      <c r="F165" s="406">
        <v>253957913</v>
      </c>
      <c r="G165" s="406">
        <v>20410048.400000002</v>
      </c>
    </row>
    <row r="166" spans="1:8" ht="13.15" customHeight="1">
      <c r="A166" s="406" t="s">
        <v>643</v>
      </c>
      <c r="B166" s="406">
        <v>229063821.63000003</v>
      </c>
      <c r="C166" s="406">
        <v>19296245.030000001</v>
      </c>
      <c r="D166" s="406">
        <v>12703155</v>
      </c>
      <c r="E166" s="406">
        <v>66265322.590000004</v>
      </c>
      <c r="F166" s="406">
        <v>130799099.01000001</v>
      </c>
      <c r="G166" s="406">
        <v>11319482.690000001</v>
      </c>
    </row>
    <row r="167" spans="1:8" ht="13.15" customHeight="1">
      <c r="A167" s="419" t="s">
        <v>646</v>
      </c>
      <c r="B167" s="959">
        <v>90274508.560000002</v>
      </c>
      <c r="C167" s="959">
        <v>4763599.72</v>
      </c>
      <c r="D167" s="959">
        <v>3100789</v>
      </c>
      <c r="E167" s="959">
        <v>16604192.73</v>
      </c>
      <c r="F167" s="959">
        <v>65805927.109999999</v>
      </c>
      <c r="G167" s="959">
        <v>4693105.34</v>
      </c>
    </row>
    <row r="168" spans="1:8" ht="13.15" customHeight="1">
      <c r="A168" s="433" t="s">
        <v>649</v>
      </c>
      <c r="B168" s="419">
        <v>935177314.25</v>
      </c>
      <c r="C168" s="419">
        <v>57681657.289999999</v>
      </c>
      <c r="D168" s="419">
        <v>38069947.140000001</v>
      </c>
      <c r="E168" s="419">
        <v>200359861.65999997</v>
      </c>
      <c r="F168" s="419">
        <v>639065848.15999997</v>
      </c>
      <c r="G168" s="419">
        <v>47883703.699999996</v>
      </c>
      <c r="H168" s="431"/>
    </row>
    <row r="169" spans="1:8" ht="18">
      <c r="A169" s="447" t="s">
        <v>849</v>
      </c>
      <c r="B169" s="429"/>
      <c r="C169" s="429"/>
      <c r="D169" s="429"/>
      <c r="E169" s="429"/>
      <c r="F169" s="429"/>
      <c r="G169" s="429"/>
      <c r="H169" s="431"/>
    </row>
    <row r="170" spans="1:8" ht="15.75">
      <c r="A170" s="430" t="s">
        <v>838</v>
      </c>
      <c r="B170" s="429"/>
      <c r="C170" s="429"/>
      <c r="D170" s="429"/>
      <c r="E170" s="429"/>
      <c r="F170" s="429"/>
      <c r="G170" s="429"/>
    </row>
    <row r="171" spans="1:8" ht="15.75">
      <c r="A171" s="430" t="str">
        <f>A3</f>
        <v>Taxable Year 2010</v>
      </c>
      <c r="B171" s="428"/>
      <c r="C171" s="428"/>
      <c r="D171" s="428"/>
      <c r="E171" s="428"/>
      <c r="F171" s="428"/>
      <c r="G171" s="428"/>
    </row>
    <row r="172" spans="1:8" ht="13.15" customHeight="1" thickBot="1">
      <c r="A172" s="431"/>
      <c r="B172" s="429"/>
      <c r="C172" s="429"/>
      <c r="D172" s="429"/>
      <c r="E172" s="429"/>
      <c r="F172" s="429"/>
      <c r="G172" s="429"/>
    </row>
    <row r="173" spans="1:8">
      <c r="A173" s="446"/>
      <c r="B173" s="446" t="s">
        <v>839</v>
      </c>
      <c r="C173" s="446" t="s">
        <v>840</v>
      </c>
      <c r="D173" s="446" t="s">
        <v>841</v>
      </c>
      <c r="E173" s="446" t="s">
        <v>841</v>
      </c>
      <c r="F173" s="446" t="s">
        <v>841</v>
      </c>
      <c r="G173" s="446" t="s">
        <v>842</v>
      </c>
      <c r="H173" s="431"/>
    </row>
    <row r="174" spans="1:8" ht="13.15" customHeight="1">
      <c r="A174" s="432" t="s">
        <v>35</v>
      </c>
      <c r="B174" s="432" t="s">
        <v>843</v>
      </c>
      <c r="C174" s="432" t="s">
        <v>844</v>
      </c>
      <c r="D174" s="432" t="s">
        <v>845</v>
      </c>
      <c r="E174" s="432" t="s">
        <v>846</v>
      </c>
      <c r="F174" s="432" t="s">
        <v>847</v>
      </c>
      <c r="G174" s="432" t="s">
        <v>848</v>
      </c>
    </row>
    <row r="175" spans="1:8" ht="10.7" customHeight="1">
      <c r="A175" s="404"/>
      <c r="C175" s="404"/>
      <c r="D175" s="404"/>
      <c r="E175" s="404"/>
      <c r="F175" s="404"/>
      <c r="G175" s="404"/>
    </row>
    <row r="176" spans="1:8" ht="13.15" customHeight="1">
      <c r="A176" s="404" t="s">
        <v>525</v>
      </c>
      <c r="B176" s="404">
        <v>731220537.06999993</v>
      </c>
      <c r="C176" s="404">
        <v>40353569.000000007</v>
      </c>
      <c r="D176" s="404">
        <v>26632026</v>
      </c>
      <c r="E176" s="404">
        <v>144006287.08000001</v>
      </c>
      <c r="F176" s="404">
        <v>520228654.98999995</v>
      </c>
      <c r="G176" s="404">
        <v>37887615.780000001</v>
      </c>
    </row>
    <row r="177" spans="1:7" ht="13.15" customHeight="1">
      <c r="A177" s="406" t="s">
        <v>529</v>
      </c>
      <c r="B177" s="406">
        <v>246220136.00999999</v>
      </c>
      <c r="C177" s="406">
        <v>15434935</v>
      </c>
      <c r="D177" s="406">
        <v>10202006.25</v>
      </c>
      <c r="E177" s="406">
        <v>55261033.18</v>
      </c>
      <c r="F177" s="406">
        <v>165322161.58000001</v>
      </c>
      <c r="G177" s="406">
        <v>12597431.540000001</v>
      </c>
    </row>
    <row r="178" spans="1:7" ht="13.15" customHeight="1">
      <c r="A178" s="406" t="s">
        <v>533</v>
      </c>
      <c r="B178" s="406">
        <v>166322024.34999999</v>
      </c>
      <c r="C178" s="406">
        <v>11774577.379999999</v>
      </c>
      <c r="D178" s="406">
        <v>7701906</v>
      </c>
      <c r="E178" s="406">
        <v>38719138.279999994</v>
      </c>
      <c r="F178" s="406">
        <v>108126402.69000001</v>
      </c>
      <c r="G178" s="406">
        <v>8440220.5</v>
      </c>
    </row>
    <row r="179" spans="1:7" ht="13.15" customHeight="1">
      <c r="A179" s="406" t="s">
        <v>537</v>
      </c>
      <c r="B179" s="406">
        <v>2243369452.0800004</v>
      </c>
      <c r="C179" s="406">
        <v>155602092.98999998</v>
      </c>
      <c r="D179" s="406">
        <v>102806132.81</v>
      </c>
      <c r="E179" s="406">
        <v>545783997.29999983</v>
      </c>
      <c r="F179" s="406">
        <v>1439177228.9800003</v>
      </c>
      <c r="G179" s="406">
        <v>113444153.08000001</v>
      </c>
    </row>
    <row r="180" spans="1:7" ht="13.15" customHeight="1">
      <c r="A180" s="406" t="s">
        <v>541</v>
      </c>
      <c r="B180" s="406">
        <v>2580159350.9499998</v>
      </c>
      <c r="C180" s="406">
        <v>176155054.82999998</v>
      </c>
      <c r="D180" s="406">
        <v>115962976.28999999</v>
      </c>
      <c r="E180" s="406">
        <v>599364253.40999997</v>
      </c>
      <c r="F180" s="406">
        <v>1688677066.4199998</v>
      </c>
      <c r="G180" s="406">
        <v>131541022.28000003</v>
      </c>
    </row>
    <row r="181" spans="1:7" ht="10.7" customHeight="1">
      <c r="A181" s="406"/>
      <c r="C181" s="406"/>
      <c r="D181" s="406"/>
      <c r="E181" s="406"/>
      <c r="F181" s="406"/>
      <c r="G181" s="406"/>
    </row>
    <row r="182" spans="1:7" ht="13.15" customHeight="1">
      <c r="A182" s="406" t="s">
        <v>545</v>
      </c>
      <c r="B182" s="406">
        <v>64018826.520000003</v>
      </c>
      <c r="C182" s="406">
        <v>4509527.5999999996</v>
      </c>
      <c r="D182" s="406">
        <v>2959062</v>
      </c>
      <c r="E182" s="406">
        <v>15442180.24</v>
      </c>
      <c r="F182" s="406">
        <v>41108056.680000007</v>
      </c>
      <c r="G182" s="406">
        <v>3222602.11</v>
      </c>
    </row>
    <row r="183" spans="1:7" ht="13.15" customHeight="1">
      <c r="A183" s="406" t="s">
        <v>549</v>
      </c>
      <c r="B183" s="406">
        <v>287832143.50000006</v>
      </c>
      <c r="C183" s="406">
        <v>27895689.780000001</v>
      </c>
      <c r="D183" s="406">
        <v>18394957.870000001</v>
      </c>
      <c r="E183" s="406">
        <v>92515238.340000004</v>
      </c>
      <c r="F183" s="406">
        <v>149026257.51000002</v>
      </c>
      <c r="G183" s="406">
        <v>14043371.850000001</v>
      </c>
    </row>
    <row r="184" spans="1:7" ht="13.15" customHeight="1">
      <c r="A184" s="406" t="s">
        <v>553</v>
      </c>
      <c r="B184" s="406">
        <v>289870823.29999995</v>
      </c>
      <c r="C184" s="406">
        <v>11610218</v>
      </c>
      <c r="D184" s="406">
        <v>7680665.1799999997</v>
      </c>
      <c r="E184" s="406">
        <v>43093215.600000001</v>
      </c>
      <c r="F184" s="406">
        <v>227486724.52000001</v>
      </c>
      <c r="G184" s="406">
        <v>15298550.189999999</v>
      </c>
    </row>
    <row r="185" spans="1:7" ht="13.15" customHeight="1">
      <c r="A185" s="406" t="s">
        <v>557</v>
      </c>
      <c r="B185" s="406">
        <v>1060850686.3099999</v>
      </c>
      <c r="C185" s="406">
        <v>84467378.929999992</v>
      </c>
      <c r="D185" s="406">
        <v>55719471.240000002</v>
      </c>
      <c r="E185" s="406">
        <v>290767798.94999999</v>
      </c>
      <c r="F185" s="406">
        <v>629896037.18999994</v>
      </c>
      <c r="G185" s="406">
        <v>52802755.979999997</v>
      </c>
    </row>
    <row r="186" spans="1:7" ht="13.15" customHeight="1">
      <c r="A186" s="406" t="s">
        <v>561</v>
      </c>
      <c r="B186" s="406">
        <v>148091827.66999999</v>
      </c>
      <c r="C186" s="406">
        <v>9218598.0899999999</v>
      </c>
      <c r="D186" s="406">
        <v>6086376</v>
      </c>
      <c r="E186" s="406">
        <v>32901664.310000002</v>
      </c>
      <c r="F186" s="406">
        <v>99885189.270000011</v>
      </c>
      <c r="G186" s="406">
        <v>7522662.3900000015</v>
      </c>
    </row>
    <row r="187" spans="1:7" ht="10.7" customHeight="1">
      <c r="A187" s="406"/>
      <c r="C187" s="406"/>
      <c r="D187" s="406"/>
      <c r="E187" s="406"/>
      <c r="F187" s="406"/>
      <c r="G187" s="406"/>
    </row>
    <row r="188" spans="1:7" ht="13.15" customHeight="1">
      <c r="A188" s="406" t="s">
        <v>565</v>
      </c>
      <c r="B188" s="406">
        <v>3825543596.9099998</v>
      </c>
      <c r="C188" s="406">
        <v>184628813.24000001</v>
      </c>
      <c r="D188" s="406">
        <v>121162263.42999998</v>
      </c>
      <c r="E188" s="406">
        <v>633697698.23000002</v>
      </c>
      <c r="F188" s="406">
        <v>2886054822.0099998</v>
      </c>
      <c r="G188" s="406">
        <v>202654707.22</v>
      </c>
    </row>
    <row r="189" spans="1:7" ht="13.15" customHeight="1">
      <c r="A189" s="406" t="s">
        <v>37</v>
      </c>
      <c r="B189" s="406">
        <v>1320603631.4199998</v>
      </c>
      <c r="C189" s="406">
        <v>87945060.820000008</v>
      </c>
      <c r="D189" s="406">
        <v>58032888.939999998</v>
      </c>
      <c r="E189" s="406">
        <v>304508091.45999998</v>
      </c>
      <c r="F189" s="406">
        <v>870117590.20000005</v>
      </c>
      <c r="G189" s="406">
        <v>67268143.669999987</v>
      </c>
    </row>
    <row r="190" spans="1:7" ht="13.15" customHeight="1">
      <c r="A190" s="406" t="s">
        <v>573</v>
      </c>
      <c r="B190" s="406">
        <v>416282648.00999999</v>
      </c>
      <c r="C190" s="406">
        <v>23509907.710000001</v>
      </c>
      <c r="D190" s="406">
        <v>15523011.970000001</v>
      </c>
      <c r="E190" s="406">
        <v>84704102.099999994</v>
      </c>
      <c r="F190" s="406">
        <v>292545626.23000002</v>
      </c>
      <c r="G190" s="406">
        <v>21352774.990000002</v>
      </c>
    </row>
    <row r="191" spans="1:7" ht="13.15" customHeight="1">
      <c r="A191" s="406" t="s">
        <v>577</v>
      </c>
      <c r="B191" s="406">
        <v>322683208.69</v>
      </c>
      <c r="C191" s="406">
        <v>21709588</v>
      </c>
      <c r="D191" s="406">
        <v>14375289.550000001</v>
      </c>
      <c r="E191" s="406">
        <v>78036723.079999998</v>
      </c>
      <c r="F191" s="406">
        <v>208561608.06</v>
      </c>
      <c r="G191" s="406">
        <v>16248609.559999999</v>
      </c>
    </row>
    <row r="192" spans="1:7" ht="13.15" customHeight="1">
      <c r="A192" s="406" t="s">
        <v>581</v>
      </c>
      <c r="B192" s="406">
        <v>1364650913.98</v>
      </c>
      <c r="C192" s="406">
        <v>75581786.359999999</v>
      </c>
      <c r="D192" s="406">
        <v>49897665.950000003</v>
      </c>
      <c r="E192" s="406">
        <v>269092110.71999997</v>
      </c>
      <c r="F192" s="406">
        <v>970079350.95000005</v>
      </c>
      <c r="G192" s="406">
        <v>70349626.560000002</v>
      </c>
    </row>
    <row r="193" spans="1:8" ht="10.7" customHeight="1">
      <c r="A193" s="406"/>
      <c r="C193" s="406"/>
      <c r="D193" s="406"/>
      <c r="E193" s="406"/>
      <c r="F193" s="406"/>
      <c r="G193" s="406"/>
    </row>
    <row r="194" spans="1:8" ht="13.15" customHeight="1">
      <c r="A194" s="406" t="s">
        <v>38</v>
      </c>
      <c r="B194" s="406">
        <v>8274967661.2200003</v>
      </c>
      <c r="C194" s="406">
        <v>405027060.24999994</v>
      </c>
      <c r="D194" s="406">
        <v>267315907.54999998</v>
      </c>
      <c r="E194" s="406">
        <v>1455869972.78</v>
      </c>
      <c r="F194" s="406">
        <v>6146754720.6400003</v>
      </c>
      <c r="G194" s="406">
        <v>433041591.49000001</v>
      </c>
    </row>
    <row r="195" spans="1:8" ht="13.15" customHeight="1">
      <c r="A195" s="406" t="s">
        <v>586</v>
      </c>
      <c r="B195" s="406">
        <v>252961478.10999995</v>
      </c>
      <c r="C195" s="406">
        <v>18739275.259999998</v>
      </c>
      <c r="D195" s="406">
        <v>12406992</v>
      </c>
      <c r="E195" s="406">
        <v>66498300.399999991</v>
      </c>
      <c r="F195" s="406">
        <v>155316910.44999999</v>
      </c>
      <c r="G195" s="406">
        <v>12586726.579999998</v>
      </c>
    </row>
    <row r="196" spans="1:8" ht="13.15" customHeight="1">
      <c r="A196" s="406" t="s">
        <v>589</v>
      </c>
      <c r="B196" s="406">
        <v>221706445.72</v>
      </c>
      <c r="C196" s="406">
        <v>11558055.689999999</v>
      </c>
      <c r="D196" s="406">
        <v>7451604.21</v>
      </c>
      <c r="E196" s="406">
        <v>39225225.210000001</v>
      </c>
      <c r="F196" s="406">
        <v>163471560.60999998</v>
      </c>
      <c r="G196" s="406">
        <v>11594064.060000002</v>
      </c>
    </row>
    <row r="197" spans="1:8" ht="13.15" customHeight="1">
      <c r="A197" s="419" t="s">
        <v>592</v>
      </c>
      <c r="B197" s="419">
        <v>454640571.62</v>
      </c>
      <c r="C197" s="419">
        <v>24996297.759999998</v>
      </c>
      <c r="D197" s="419">
        <v>16438842</v>
      </c>
      <c r="E197" s="419">
        <v>87179050.400000006</v>
      </c>
      <c r="F197" s="419">
        <v>326026381.46000004</v>
      </c>
      <c r="G197" s="419">
        <v>23669820.580000006</v>
      </c>
    </row>
    <row r="198" spans="1:8" ht="10.7" customHeight="1">
      <c r="A198" s="453"/>
      <c r="B198" s="440"/>
      <c r="C198" s="440"/>
      <c r="D198" s="440"/>
      <c r="E198" s="440"/>
      <c r="F198" s="440"/>
      <c r="G198" s="440"/>
      <c r="H198" s="431"/>
    </row>
    <row r="199" spans="1:8" ht="15" customHeight="1">
      <c r="A199" s="442" t="s">
        <v>39</v>
      </c>
      <c r="B199" s="420">
        <f>SUM(B146:B197)</f>
        <v>41843424448.289993</v>
      </c>
      <c r="C199" s="420">
        <f t="shared" ref="C199:G199" si="1">SUM(C146:C197)</f>
        <v>2254765951.1099997</v>
      </c>
      <c r="D199" s="420">
        <f t="shared" si="1"/>
        <v>1484917518.9999998</v>
      </c>
      <c r="E199" s="420">
        <f t="shared" si="1"/>
        <v>7937541014.9699993</v>
      </c>
      <c r="F199" s="420">
        <f t="shared" si="1"/>
        <v>30166199963.209999</v>
      </c>
      <c r="G199" s="420">
        <f t="shared" si="1"/>
        <v>2178061366.6399999</v>
      </c>
    </row>
    <row r="200" spans="1:8" ht="15" customHeight="1">
      <c r="A200" s="442" t="s">
        <v>34</v>
      </c>
      <c r="B200" s="420">
        <f t="shared" ref="B200:G200" si="2">B140</f>
        <v>134011623874.54001</v>
      </c>
      <c r="C200" s="420">
        <f t="shared" si="2"/>
        <v>5431732805.3500023</v>
      </c>
      <c r="D200" s="420">
        <f t="shared" si="2"/>
        <v>3592380914.0100007</v>
      </c>
      <c r="E200" s="420">
        <f t="shared" si="2"/>
        <v>19963657027.300003</v>
      </c>
      <c r="F200" s="420">
        <f t="shared" si="2"/>
        <v>105023853127.88011</v>
      </c>
      <c r="G200" s="420">
        <f t="shared" si="2"/>
        <v>7108752725.3400021</v>
      </c>
    </row>
    <row r="201" spans="1:8" ht="15" customHeight="1">
      <c r="A201" s="442" t="s">
        <v>828</v>
      </c>
      <c r="B201" s="427">
        <v>4681020151.7399988</v>
      </c>
      <c r="C201" s="427">
        <v>222393923.44000003</v>
      </c>
      <c r="D201" s="427">
        <v>135262667.76999998</v>
      </c>
      <c r="E201" s="427">
        <v>684943542.5999999</v>
      </c>
      <c r="F201" s="427">
        <v>3638420017.9300003</v>
      </c>
      <c r="G201" s="427">
        <v>250886436.48999998</v>
      </c>
    </row>
    <row r="202" spans="1:8" ht="13.15" customHeight="1">
      <c r="A202" s="442"/>
      <c r="B202" s="439"/>
      <c r="C202" s="439"/>
      <c r="D202" s="439"/>
      <c r="E202" s="439"/>
      <c r="F202" s="439"/>
      <c r="G202" s="439"/>
    </row>
    <row r="203" spans="1:8" ht="15" customHeight="1">
      <c r="A203" s="442" t="s">
        <v>40</v>
      </c>
      <c r="B203" s="420">
        <f>SUM(B199:B201)</f>
        <v>180536068474.57001</v>
      </c>
      <c r="C203" s="420">
        <f t="shared" ref="C203:F203" si="3">SUM(C199:C201)</f>
        <v>7908892679.9000015</v>
      </c>
      <c r="D203" s="420">
        <f t="shared" si="3"/>
        <v>5212561100.7800007</v>
      </c>
      <c r="E203" s="420">
        <f t="shared" si="3"/>
        <v>28586141584.870003</v>
      </c>
      <c r="F203" s="420">
        <f t="shared" si="3"/>
        <v>138828473109.02011</v>
      </c>
      <c r="G203" s="420">
        <f>SUM(G199:G201)</f>
        <v>9537700528.4700012</v>
      </c>
    </row>
    <row r="204" spans="1:8" ht="13.15" customHeight="1">
      <c r="A204" s="436"/>
      <c r="B204" s="443"/>
      <c r="C204" s="443"/>
      <c r="D204" s="443"/>
      <c r="E204" s="443"/>
      <c r="F204" s="443"/>
      <c r="G204" s="443"/>
    </row>
    <row r="205" spans="1:8" ht="13.15" customHeight="1">
      <c r="A205" s="421" t="s">
        <v>2</v>
      </c>
      <c r="B205" s="429"/>
      <c r="C205" s="421"/>
      <c r="D205" s="421"/>
      <c r="E205" s="421"/>
      <c r="F205" s="421"/>
      <c r="G205" s="454"/>
    </row>
    <row r="206" spans="1:8" ht="13.15" customHeight="1">
      <c r="A206" s="405" t="s">
        <v>850</v>
      </c>
      <c r="B206" s="429"/>
      <c r="C206" s="421"/>
      <c r="D206" s="421"/>
      <c r="E206" s="421"/>
      <c r="F206" s="421"/>
      <c r="G206" s="421"/>
    </row>
    <row r="207" spans="1:8" ht="13.15" customHeight="1">
      <c r="A207" s="887" t="s">
        <v>1119</v>
      </c>
      <c r="B207" s="429"/>
      <c r="C207" s="421"/>
      <c r="D207" s="421"/>
      <c r="E207" s="421"/>
      <c r="F207" s="421"/>
      <c r="G207" s="421"/>
    </row>
    <row r="208" spans="1:8">
      <c r="A208" s="403" t="s">
        <v>836</v>
      </c>
    </row>
  </sheetData>
  <printOptions horizontalCentered="1"/>
  <pageMargins left="0.5" right="0.5" top="0.5" bottom="1" header="0.5" footer="0.5"/>
  <pageSetup scale="84" firstPageNumber="17" fitToHeight="6" orientation="landscape" useFirstPageNumber="1" r:id="rId1"/>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sheetPr codeName="Sheet12"/>
  <dimension ref="A1:P42"/>
  <sheetViews>
    <sheetView zoomScaleNormal="100" workbookViewId="0">
      <selection activeCell="C19" sqref="C19"/>
    </sheetView>
  </sheetViews>
  <sheetFormatPr defaultColWidth="9.28515625" defaultRowHeight="12.75"/>
  <cols>
    <col min="1" max="1" width="7.5703125" style="456" customWidth="1"/>
    <col min="2" max="2" width="20.140625" style="456" customWidth="1"/>
    <col min="3" max="3" width="12.5703125" style="459" customWidth="1"/>
    <col min="4" max="4" width="12.42578125" style="456" customWidth="1"/>
    <col min="5" max="5" width="2.7109375" style="456" customWidth="1"/>
    <col min="6" max="6" width="12.5703125" style="459" customWidth="1"/>
    <col min="7" max="7" width="12.140625" style="456" customWidth="1"/>
    <col min="8" max="8" width="2.7109375" style="456" customWidth="1"/>
    <col min="9" max="9" width="12.5703125" style="459" customWidth="1"/>
    <col min="10" max="10" width="12.140625" style="456" customWidth="1"/>
    <col min="11" max="11" width="2.7109375" style="460" customWidth="1"/>
    <col min="12" max="12" width="12.5703125" style="459" customWidth="1"/>
    <col min="13" max="13" width="12.140625" style="456" customWidth="1"/>
    <col min="14" max="14" width="2.7109375" style="456" customWidth="1"/>
    <col min="15" max="15" width="12.5703125" style="459" customWidth="1"/>
    <col min="16" max="16" width="11.140625" style="456" bestFit="1" customWidth="1"/>
    <col min="17" max="16384" width="9.28515625" style="456"/>
  </cols>
  <sheetData>
    <row r="1" spans="1:16" ht="18">
      <c r="A1" s="455" t="s">
        <v>851</v>
      </c>
      <c r="C1" s="457"/>
      <c r="D1" s="458"/>
      <c r="E1" s="458"/>
    </row>
    <row r="2" spans="1:16" ht="15.75">
      <c r="A2" s="461" t="s">
        <v>852</v>
      </c>
      <c r="D2" s="458"/>
      <c r="E2" s="458"/>
    </row>
    <row r="3" spans="1:16" ht="13.5" thickBot="1">
      <c r="B3" s="462"/>
      <c r="C3" s="463"/>
      <c r="D3" s="462"/>
      <c r="E3" s="462"/>
      <c r="F3" s="463"/>
      <c r="G3" s="462"/>
      <c r="H3" s="462"/>
    </row>
    <row r="4" spans="1:16" ht="15">
      <c r="A4" s="1038"/>
      <c r="B4" s="1039"/>
      <c r="C4" s="464">
        <v>2007</v>
      </c>
      <c r="D4" s="464"/>
      <c r="E4" s="465"/>
      <c r="F4" s="464">
        <v>2008</v>
      </c>
      <c r="G4" s="464"/>
      <c r="H4" s="465"/>
      <c r="I4" s="464">
        <v>2009</v>
      </c>
      <c r="J4" s="464"/>
      <c r="K4" s="465"/>
      <c r="L4" s="464">
        <v>2010</v>
      </c>
      <c r="M4" s="464"/>
    </row>
    <row r="5" spans="1:16" ht="15">
      <c r="A5" s="1031"/>
      <c r="B5" s="1040"/>
      <c r="C5" s="466" t="s">
        <v>496</v>
      </c>
      <c r="D5" s="466"/>
      <c r="E5" s="466"/>
      <c r="F5" s="466" t="s">
        <v>496</v>
      </c>
      <c r="G5" s="466"/>
      <c r="H5" s="466"/>
      <c r="I5" s="466" t="s">
        <v>496</v>
      </c>
      <c r="J5" s="466"/>
      <c r="K5" s="466"/>
      <c r="L5" s="466" t="s">
        <v>496</v>
      </c>
      <c r="M5" s="466"/>
    </row>
    <row r="6" spans="1:16" ht="15">
      <c r="A6" s="1041" t="s">
        <v>853</v>
      </c>
      <c r="B6" s="1037"/>
      <c r="C6" s="467" t="s">
        <v>854</v>
      </c>
      <c r="D6" s="467" t="s">
        <v>30</v>
      </c>
      <c r="E6" s="467"/>
      <c r="F6" s="467" t="s">
        <v>854</v>
      </c>
      <c r="G6" s="467" t="s">
        <v>30</v>
      </c>
      <c r="H6" s="467"/>
      <c r="I6" s="467" t="s">
        <v>854</v>
      </c>
      <c r="J6" s="467" t="s">
        <v>30</v>
      </c>
      <c r="K6" s="467"/>
      <c r="L6" s="467" t="s">
        <v>854</v>
      </c>
      <c r="M6" s="467" t="s">
        <v>30</v>
      </c>
    </row>
    <row r="7" spans="1:16">
      <c r="A7" s="1042"/>
      <c r="B7" s="1042"/>
      <c r="K7" s="456"/>
    </row>
    <row r="8" spans="1:16">
      <c r="A8" s="1031" t="s">
        <v>855</v>
      </c>
      <c r="B8" s="1031"/>
      <c r="C8" s="468">
        <v>113235</v>
      </c>
      <c r="D8" s="469">
        <v>17166973.370000001</v>
      </c>
      <c r="F8" s="468">
        <v>117392</v>
      </c>
      <c r="G8" s="469">
        <v>18085984.870000001</v>
      </c>
      <c r="I8" s="468">
        <v>125566</v>
      </c>
      <c r="J8" s="469">
        <v>19054250.579999998</v>
      </c>
      <c r="K8" s="456"/>
      <c r="L8" s="468">
        <v>120578</v>
      </c>
      <c r="M8" s="469">
        <v>20005947.149999999</v>
      </c>
      <c r="O8" s="851"/>
      <c r="P8" s="851"/>
    </row>
    <row r="9" spans="1:16">
      <c r="A9" s="1031" t="s">
        <v>856</v>
      </c>
      <c r="B9" s="1031"/>
      <c r="C9" s="468">
        <v>5487</v>
      </c>
      <c r="D9" s="470">
        <v>922393.51</v>
      </c>
      <c r="F9" s="468">
        <v>4947</v>
      </c>
      <c r="G9" s="470">
        <v>872302.69</v>
      </c>
      <c r="I9" s="468">
        <v>4224</v>
      </c>
      <c r="J9" s="470">
        <v>747411.01</v>
      </c>
      <c r="K9" s="456"/>
      <c r="L9" s="962">
        <v>4904</v>
      </c>
      <c r="M9" s="963">
        <v>972388.93</v>
      </c>
      <c r="O9" s="851"/>
      <c r="P9" s="851"/>
    </row>
    <row r="10" spans="1:16" ht="12.75" customHeight="1">
      <c r="A10" s="1036" t="s">
        <v>857</v>
      </c>
      <c r="B10" s="1037"/>
      <c r="C10" s="468">
        <v>19019</v>
      </c>
      <c r="D10" s="470">
        <v>2114205.31</v>
      </c>
      <c r="F10" s="468">
        <v>17847</v>
      </c>
      <c r="G10" s="470">
        <v>1982188.27</v>
      </c>
      <c r="I10" s="468">
        <v>13172</v>
      </c>
      <c r="J10" s="470">
        <v>1505578.91</v>
      </c>
      <c r="K10" s="456"/>
      <c r="L10" s="962">
        <v>17773</v>
      </c>
      <c r="M10" s="963">
        <v>2205351.89</v>
      </c>
      <c r="O10" s="851"/>
      <c r="P10" s="851"/>
    </row>
    <row r="11" spans="1:16">
      <c r="A11" s="1031" t="s">
        <v>858</v>
      </c>
      <c r="B11" s="1031"/>
      <c r="C11" s="468">
        <v>1264</v>
      </c>
      <c r="D11" s="470">
        <v>131273.76</v>
      </c>
      <c r="F11" s="468">
        <v>1323</v>
      </c>
      <c r="G11" s="470">
        <v>138195.26</v>
      </c>
      <c r="I11" s="468">
        <v>1068</v>
      </c>
      <c r="J11" s="470">
        <v>118474.36</v>
      </c>
      <c r="K11" s="456"/>
      <c r="L11" s="962">
        <v>1244</v>
      </c>
      <c r="M11" s="963">
        <v>157270.15</v>
      </c>
      <c r="O11" s="851"/>
      <c r="P11" s="851"/>
    </row>
    <row r="12" spans="1:16">
      <c r="A12" s="1031" t="s">
        <v>859</v>
      </c>
      <c r="B12" s="1031"/>
      <c r="C12" s="468">
        <v>2095</v>
      </c>
      <c r="D12" s="470">
        <v>226440.26</v>
      </c>
      <c r="F12" s="468">
        <v>2045</v>
      </c>
      <c r="G12" s="470">
        <v>211985.76</v>
      </c>
      <c r="I12" s="468">
        <v>1401</v>
      </c>
      <c r="J12" s="470">
        <v>153279.85</v>
      </c>
      <c r="K12" s="456"/>
      <c r="L12" s="962">
        <v>1887</v>
      </c>
      <c r="M12" s="963">
        <v>220673.73</v>
      </c>
      <c r="O12" s="851"/>
      <c r="P12" s="851"/>
    </row>
    <row r="13" spans="1:16">
      <c r="A13" s="472" t="s">
        <v>860</v>
      </c>
      <c r="B13" s="458"/>
      <c r="C13" s="473">
        <v>0</v>
      </c>
      <c r="D13" s="473">
        <v>0</v>
      </c>
      <c r="F13" s="473">
        <v>0</v>
      </c>
      <c r="G13" s="473">
        <v>0</v>
      </c>
      <c r="I13" s="468">
        <v>7223</v>
      </c>
      <c r="J13" s="470">
        <v>3098314.62</v>
      </c>
      <c r="K13" s="456"/>
      <c r="L13" s="962">
        <v>10104</v>
      </c>
      <c r="M13" s="963">
        <v>3908275</v>
      </c>
      <c r="O13" s="851"/>
      <c r="P13" s="851"/>
    </row>
    <row r="14" spans="1:16">
      <c r="A14" s="1031" t="s">
        <v>446</v>
      </c>
      <c r="B14" s="1031"/>
      <c r="C14" s="468">
        <v>96026</v>
      </c>
      <c r="D14" s="470">
        <v>13789122.189999999</v>
      </c>
      <c r="F14" s="468">
        <v>111323</v>
      </c>
      <c r="G14" s="470">
        <v>16480373.35</v>
      </c>
      <c r="I14" s="468">
        <v>112236</v>
      </c>
      <c r="J14" s="470">
        <v>16171977.050000001</v>
      </c>
      <c r="K14" s="456"/>
      <c r="L14" s="468">
        <v>114513</v>
      </c>
      <c r="M14" s="470">
        <v>16074012.460000001</v>
      </c>
      <c r="O14" s="851"/>
      <c r="P14" s="851"/>
    </row>
    <row r="15" spans="1:16">
      <c r="A15" s="1031" t="s">
        <v>447</v>
      </c>
      <c r="B15" s="1031"/>
      <c r="C15" s="468">
        <v>59538</v>
      </c>
      <c r="D15" s="470">
        <v>7983886.5999999996</v>
      </c>
      <c r="F15" s="468">
        <v>74214</v>
      </c>
      <c r="G15" s="470">
        <v>10643906.66</v>
      </c>
      <c r="I15" s="468">
        <v>70829</v>
      </c>
      <c r="J15" s="470">
        <v>10338534.73</v>
      </c>
      <c r="K15" s="456"/>
      <c r="L15" s="962">
        <v>92405</v>
      </c>
      <c r="M15" s="963">
        <v>13557990.4</v>
      </c>
      <c r="O15" s="851"/>
      <c r="P15" s="851"/>
    </row>
    <row r="16" spans="1:16">
      <c r="A16" s="1031" t="s">
        <v>861</v>
      </c>
      <c r="B16" s="1031"/>
      <c r="C16" s="468">
        <v>1992</v>
      </c>
      <c r="D16" s="470">
        <v>177068.65</v>
      </c>
      <c r="F16" s="468">
        <v>2003</v>
      </c>
      <c r="G16" s="470">
        <v>180841.88</v>
      </c>
      <c r="I16" s="468">
        <v>2231</v>
      </c>
      <c r="J16" s="470">
        <v>207647.52</v>
      </c>
      <c r="K16" s="456"/>
      <c r="L16" s="962">
        <v>3300</v>
      </c>
      <c r="M16" s="963">
        <v>266122.09000000003</v>
      </c>
      <c r="O16" s="851"/>
      <c r="P16" s="851"/>
    </row>
    <row r="17" spans="1:16">
      <c r="A17" s="1031" t="s">
        <v>862</v>
      </c>
      <c r="B17" s="1031"/>
      <c r="C17" s="468">
        <v>1935</v>
      </c>
      <c r="D17" s="474">
        <v>406467.43</v>
      </c>
      <c r="F17" s="468">
        <v>1756</v>
      </c>
      <c r="G17" s="474">
        <v>377952.82</v>
      </c>
      <c r="I17" s="468">
        <v>1380</v>
      </c>
      <c r="J17" s="474">
        <v>317577.44</v>
      </c>
      <c r="K17" s="456"/>
      <c r="L17" s="468">
        <v>1554</v>
      </c>
      <c r="M17" s="474">
        <v>355235.55</v>
      </c>
      <c r="O17" s="851"/>
      <c r="P17" s="851"/>
    </row>
    <row r="18" spans="1:16">
      <c r="K18" s="456"/>
      <c r="O18" s="456"/>
    </row>
    <row r="19" spans="1:16" ht="15" customHeight="1">
      <c r="A19" s="475"/>
      <c r="B19" s="476" t="s">
        <v>863</v>
      </c>
      <c r="C19" s="477">
        <f>SUM(C8:C17)</f>
        <v>300591</v>
      </c>
      <c r="D19" s="478">
        <f>SUM(D8:D17)</f>
        <v>42917831.080000006</v>
      </c>
      <c r="E19" s="476"/>
      <c r="F19" s="477">
        <f>SUM(F8:F17)</f>
        <v>332850</v>
      </c>
      <c r="G19" s="478">
        <f>SUM(G8:G17)</f>
        <v>48973731.560000002</v>
      </c>
      <c r="H19" s="476"/>
      <c r="I19" s="477">
        <f>SUM(I8:I17)</f>
        <v>339330</v>
      </c>
      <c r="J19" s="478">
        <f>SUM(J8:J17)</f>
        <v>51713046.07</v>
      </c>
      <c r="K19" s="476"/>
      <c r="L19" s="477">
        <f>SUM(L8:L17)</f>
        <v>368262</v>
      </c>
      <c r="M19" s="478">
        <f>SUM(M8:M17)</f>
        <v>57723267.350000001</v>
      </c>
      <c r="O19" s="851"/>
      <c r="P19" s="851"/>
    </row>
    <row r="20" spans="1:16">
      <c r="G20" s="479"/>
      <c r="J20" s="479"/>
      <c r="M20" s="479"/>
    </row>
    <row r="21" spans="1:16">
      <c r="A21" s="480" t="s">
        <v>2</v>
      </c>
    </row>
    <row r="22" spans="1:16" ht="13.15" customHeight="1">
      <c r="A22" s="471" t="s">
        <v>864</v>
      </c>
    </row>
    <row r="23" spans="1:16" ht="13.15" customHeight="1">
      <c r="A23" s="471"/>
    </row>
    <row r="24" spans="1:16" ht="13.15" customHeight="1">
      <c r="A24" s="481"/>
    </row>
    <row r="25" spans="1:16">
      <c r="B25" s="480"/>
    </row>
    <row r="26" spans="1:16" ht="18">
      <c r="A26" s="482" t="s">
        <v>865</v>
      </c>
      <c r="C26" s="483"/>
    </row>
    <row r="27" spans="1:16" ht="15.75">
      <c r="A27" s="484" t="s">
        <v>866</v>
      </c>
      <c r="C27" s="483"/>
    </row>
    <row r="28" spans="1:16" ht="13.5" thickBot="1">
      <c r="B28" s="483"/>
      <c r="C28" s="483"/>
    </row>
    <row r="29" spans="1:16">
      <c r="B29" s="485" t="s">
        <v>867</v>
      </c>
      <c r="C29" s="1032" t="s">
        <v>25</v>
      </c>
      <c r="D29" s="1033"/>
      <c r="I29" s="485" t="s">
        <v>867</v>
      </c>
      <c r="J29" s="486" t="s">
        <v>25</v>
      </c>
    </row>
    <row r="30" spans="1:16" ht="12.75" customHeight="1">
      <c r="B30" s="487">
        <v>2001</v>
      </c>
      <c r="C30" s="488"/>
      <c r="D30" s="489">
        <v>22383549.670000002</v>
      </c>
      <c r="I30" s="490">
        <v>2001</v>
      </c>
      <c r="J30" s="491">
        <f>D30/1000000</f>
        <v>22.383549670000001</v>
      </c>
    </row>
    <row r="31" spans="1:16" ht="12.75" customHeight="1">
      <c r="B31" s="487">
        <v>2002</v>
      </c>
      <c r="C31" s="492"/>
      <c r="D31" s="493">
        <v>23013587.100000001</v>
      </c>
      <c r="I31" s="490">
        <v>2002</v>
      </c>
      <c r="J31" s="491">
        <f t="shared" ref="J31:J39" si="0">D31/1000000</f>
        <v>23.013587100000002</v>
      </c>
    </row>
    <row r="32" spans="1:16" ht="12.75" customHeight="1">
      <c r="B32" s="487">
        <v>2003</v>
      </c>
      <c r="C32" s="492"/>
      <c r="D32" s="493">
        <v>21137385.800000001</v>
      </c>
      <c r="I32" s="490">
        <v>2003</v>
      </c>
      <c r="J32" s="491">
        <f t="shared" si="0"/>
        <v>21.137385800000001</v>
      </c>
    </row>
    <row r="33" spans="1:15" ht="12.75" customHeight="1">
      <c r="B33" s="487">
        <v>2004</v>
      </c>
      <c r="C33" s="492"/>
      <c r="D33" s="494">
        <v>22937393.359999999</v>
      </c>
      <c r="I33" s="490">
        <v>2004</v>
      </c>
      <c r="J33" s="491">
        <f t="shared" si="0"/>
        <v>22.937393359999998</v>
      </c>
    </row>
    <row r="34" spans="1:15" ht="12.75" customHeight="1">
      <c r="B34" s="487">
        <v>2005</v>
      </c>
      <c r="C34" s="495"/>
      <c r="D34" s="496">
        <v>14052101.029999999</v>
      </c>
      <c r="I34" s="499">
        <v>2005</v>
      </c>
      <c r="J34" s="491">
        <f t="shared" si="0"/>
        <v>14.052101029999999</v>
      </c>
    </row>
    <row r="35" spans="1:15" ht="12.75" customHeight="1">
      <c r="B35" s="497">
        <v>2006</v>
      </c>
      <c r="C35" s="498"/>
      <c r="D35" s="496">
        <v>15896468.560000001</v>
      </c>
      <c r="I35" s="499">
        <v>2006</v>
      </c>
      <c r="J35" s="491">
        <f t="shared" si="0"/>
        <v>15.896468560000001</v>
      </c>
    </row>
    <row r="36" spans="1:15" ht="12.75" customHeight="1">
      <c r="B36" s="497">
        <v>2007</v>
      </c>
      <c r="C36" s="498"/>
      <c r="D36" s="500">
        <v>15673200.720000001</v>
      </c>
      <c r="I36" s="499">
        <v>2007</v>
      </c>
      <c r="J36" s="491">
        <f t="shared" si="0"/>
        <v>15.673200720000001</v>
      </c>
    </row>
    <row r="37" spans="1:15" ht="12.75" customHeight="1">
      <c r="B37" s="497">
        <v>2008</v>
      </c>
      <c r="C37" s="501"/>
      <c r="D37" s="500">
        <v>16366547.060000001</v>
      </c>
      <c r="I37" s="499">
        <v>2008</v>
      </c>
      <c r="J37" s="491">
        <f t="shared" si="0"/>
        <v>16.366547060000002</v>
      </c>
    </row>
    <row r="38" spans="1:15" ht="12.75" customHeight="1">
      <c r="B38" s="502">
        <v>2009</v>
      </c>
      <c r="C38" s="501"/>
      <c r="D38" s="500">
        <v>17876422.93</v>
      </c>
      <c r="I38" s="499">
        <v>2009</v>
      </c>
      <c r="J38" s="491">
        <f t="shared" si="0"/>
        <v>17.87642293</v>
      </c>
    </row>
    <row r="39" spans="1:15" ht="12.75" customHeight="1">
      <c r="B39" s="497">
        <v>2010</v>
      </c>
      <c r="C39" s="501"/>
      <c r="D39" s="500">
        <v>18578293.82</v>
      </c>
      <c r="I39" s="499">
        <v>2010</v>
      </c>
      <c r="J39" s="491">
        <f t="shared" si="0"/>
        <v>18.578293819999999</v>
      </c>
    </row>
    <row r="41" spans="1:15" ht="15.75">
      <c r="A41" s="480" t="s">
        <v>27</v>
      </c>
      <c r="B41" s="503"/>
      <c r="C41" s="503"/>
      <c r="D41" s="503"/>
      <c r="I41" s="504"/>
      <c r="J41" s="504"/>
    </row>
    <row r="42" spans="1:15" ht="39.6" customHeight="1">
      <c r="A42" s="1034" t="s">
        <v>868</v>
      </c>
      <c r="B42" s="1034"/>
      <c r="C42" s="1034"/>
      <c r="D42" s="1034"/>
      <c r="E42" s="1034"/>
      <c r="F42" s="1035"/>
      <c r="G42" s="504"/>
      <c r="H42" s="504"/>
      <c r="K42" s="504"/>
      <c r="L42" s="504"/>
      <c r="M42" s="504"/>
      <c r="N42" s="504"/>
      <c r="O42" s="504"/>
    </row>
  </sheetData>
  <mergeCells count="15">
    <mergeCell ref="A9:B9"/>
    <mergeCell ref="A4:B4"/>
    <mergeCell ref="A5:B5"/>
    <mergeCell ref="A6:B6"/>
    <mergeCell ref="A7:B7"/>
    <mergeCell ref="A8:B8"/>
    <mergeCell ref="A17:B17"/>
    <mergeCell ref="C29:D29"/>
    <mergeCell ref="A42:F42"/>
    <mergeCell ref="A10:B10"/>
    <mergeCell ref="A11:B11"/>
    <mergeCell ref="A12:B12"/>
    <mergeCell ref="A14:B14"/>
    <mergeCell ref="A15:B15"/>
    <mergeCell ref="A16:B16"/>
  </mergeCells>
  <printOptions horizontalCentered="1"/>
  <pageMargins left="0.5" right="0.5" top="0.5" bottom="1" header="0.5" footer="0.5"/>
  <pageSetup scale="82" firstPageNumber="22" orientation="landscape"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sheetPr codeName="Sheet13"/>
  <dimension ref="A1:L46"/>
  <sheetViews>
    <sheetView topLeftCell="A22" zoomScaleNormal="100" workbookViewId="0">
      <selection activeCell="C19" sqref="C19"/>
    </sheetView>
  </sheetViews>
  <sheetFormatPr defaultColWidth="9.5703125" defaultRowHeight="12.75"/>
  <cols>
    <col min="1" max="1" width="72.7109375" style="509" customWidth="1"/>
    <col min="2" max="2" width="10.140625" style="509" customWidth="1"/>
    <col min="3" max="3" width="12.5703125" style="509" customWidth="1"/>
    <col min="4" max="4" width="2.5703125" style="509" customWidth="1"/>
    <col min="5" max="5" width="10.140625" style="509" customWidth="1"/>
    <col min="6" max="6" width="12.5703125" style="509" customWidth="1"/>
    <col min="7" max="7" width="2.5703125" style="509" customWidth="1"/>
    <col min="8" max="8" width="10.140625" style="540" bestFit="1" customWidth="1"/>
    <col min="9" max="9" width="12.5703125" style="509" customWidth="1"/>
    <col min="10" max="16384" width="9.5703125" style="509"/>
  </cols>
  <sheetData>
    <row r="1" spans="1:12" ht="18">
      <c r="A1" s="505" t="s">
        <v>869</v>
      </c>
      <c r="B1" s="506"/>
      <c r="C1" s="506"/>
      <c r="D1" s="506"/>
      <c r="E1" s="506"/>
      <c r="F1" s="506"/>
      <c r="G1" s="506"/>
      <c r="H1" s="507"/>
      <c r="I1" s="506"/>
      <c r="J1" s="508"/>
    </row>
    <row r="2" spans="1:12" ht="15.75">
      <c r="A2" s="510" t="s">
        <v>870</v>
      </c>
      <c r="C2" s="506"/>
      <c r="D2" s="506"/>
      <c r="E2" s="506"/>
      <c r="F2" s="506"/>
      <c r="G2" s="506"/>
      <c r="H2" s="507"/>
      <c r="I2" s="506"/>
      <c r="J2" s="508"/>
    </row>
    <row r="3" spans="1:12" ht="14.25" thickBot="1">
      <c r="A3" s="511"/>
      <c r="B3" s="511"/>
      <c r="C3" s="511"/>
      <c r="D3" s="511"/>
      <c r="E3" s="511"/>
      <c r="F3" s="511"/>
      <c r="G3" s="511"/>
      <c r="H3" s="512"/>
      <c r="I3" s="511"/>
      <c r="J3" s="508"/>
    </row>
    <row r="4" spans="1:12" ht="13.5">
      <c r="A4" s="513"/>
      <c r="B4" s="1045">
        <v>2008</v>
      </c>
      <c r="C4" s="1046"/>
      <c r="D4" s="514"/>
      <c r="E4" s="1045">
        <v>2009</v>
      </c>
      <c r="F4" s="1046"/>
      <c r="G4" s="514"/>
      <c r="H4" s="1045">
        <v>2010</v>
      </c>
      <c r="I4" s="1046"/>
      <c r="J4" s="508"/>
    </row>
    <row r="5" spans="1:12" s="517" customFormat="1" ht="15">
      <c r="A5" s="515" t="s">
        <v>871</v>
      </c>
      <c r="B5" s="516" t="s">
        <v>872</v>
      </c>
      <c r="C5" s="516" t="s">
        <v>30</v>
      </c>
      <c r="D5" s="516"/>
      <c r="E5" s="516" t="s">
        <v>872</v>
      </c>
      <c r="F5" s="516" t="s">
        <v>30</v>
      </c>
      <c r="G5" s="516"/>
      <c r="H5" s="516" t="s">
        <v>872</v>
      </c>
      <c r="I5" s="516" t="s">
        <v>30</v>
      </c>
      <c r="J5" s="511"/>
    </row>
    <row r="6" spans="1:12" ht="15.6" customHeight="1">
      <c r="A6" s="518" t="s">
        <v>873</v>
      </c>
      <c r="B6" s="512">
        <v>2377</v>
      </c>
      <c r="C6" s="519">
        <v>48474.04</v>
      </c>
      <c r="D6" s="520"/>
      <c r="E6" s="512">
        <v>2059</v>
      </c>
      <c r="F6" s="519">
        <v>42247</v>
      </c>
      <c r="H6" s="512">
        <v>1898</v>
      </c>
      <c r="I6" s="519">
        <v>39477.75</v>
      </c>
      <c r="J6" s="508"/>
      <c r="K6" s="508"/>
      <c r="L6" s="508"/>
    </row>
    <row r="7" spans="1:12" ht="15.6" customHeight="1">
      <c r="A7" s="521" t="s">
        <v>874</v>
      </c>
      <c r="B7" s="512">
        <v>1462</v>
      </c>
      <c r="C7" s="522">
        <v>32588.959999999999</v>
      </c>
      <c r="D7" s="512"/>
      <c r="E7" s="512">
        <v>1040</v>
      </c>
      <c r="F7" s="522">
        <v>22028</v>
      </c>
      <c r="H7" s="512">
        <v>838</v>
      </c>
      <c r="I7" s="522">
        <v>16914.740000000002</v>
      </c>
      <c r="J7" s="508"/>
      <c r="K7" s="508"/>
      <c r="L7" s="508"/>
    </row>
    <row r="8" spans="1:12" ht="15.6" customHeight="1">
      <c r="A8" s="697" t="s">
        <v>875</v>
      </c>
      <c r="B8" s="512">
        <v>6189</v>
      </c>
      <c r="C8" s="522">
        <v>153436</v>
      </c>
      <c r="D8" s="512"/>
      <c r="E8" s="512">
        <v>5171</v>
      </c>
      <c r="F8" s="522">
        <v>133674</v>
      </c>
      <c r="H8" s="512">
        <v>4910</v>
      </c>
      <c r="I8" s="522">
        <v>131768.04999999999</v>
      </c>
      <c r="J8" s="508"/>
      <c r="K8" s="508"/>
      <c r="L8" s="508"/>
    </row>
    <row r="9" spans="1:12" ht="15.6" customHeight="1">
      <c r="A9" s="521" t="s">
        <v>876</v>
      </c>
      <c r="B9" s="512">
        <v>2384</v>
      </c>
      <c r="C9" s="522">
        <v>55430.36</v>
      </c>
      <c r="D9" s="512"/>
      <c r="E9" s="512">
        <v>2087</v>
      </c>
      <c r="F9" s="522">
        <v>51771</v>
      </c>
      <c r="H9" s="994">
        <v>1800</v>
      </c>
      <c r="I9" s="522">
        <v>48020</v>
      </c>
      <c r="J9" s="508"/>
      <c r="K9" s="508"/>
      <c r="L9" s="508"/>
    </row>
    <row r="10" spans="1:12" ht="15.6" customHeight="1">
      <c r="A10" s="521" t="s">
        <v>877</v>
      </c>
      <c r="B10" s="512">
        <v>2991</v>
      </c>
      <c r="C10" s="522">
        <v>67463.11</v>
      </c>
      <c r="D10" s="512"/>
      <c r="E10" s="512">
        <v>2659</v>
      </c>
      <c r="F10" s="522">
        <v>61578</v>
      </c>
      <c r="H10" s="994">
        <v>2010</v>
      </c>
      <c r="I10" s="522">
        <v>49012.13</v>
      </c>
      <c r="J10" s="508"/>
      <c r="K10" s="508"/>
      <c r="L10" s="508"/>
    </row>
    <row r="11" spans="1:12" ht="15.6" customHeight="1">
      <c r="A11" s="521" t="s">
        <v>878</v>
      </c>
      <c r="B11" s="512">
        <v>1535</v>
      </c>
      <c r="C11" s="522">
        <v>36311.64</v>
      </c>
      <c r="D11" s="512"/>
      <c r="E11" s="512">
        <v>1690</v>
      </c>
      <c r="F11" s="522">
        <v>36201</v>
      </c>
      <c r="H11" s="512">
        <v>1191</v>
      </c>
      <c r="I11" s="522">
        <v>26692</v>
      </c>
      <c r="J11" s="508"/>
      <c r="K11" s="508"/>
      <c r="L11" s="508"/>
    </row>
    <row r="12" spans="1:12" ht="15.6" customHeight="1">
      <c r="A12" s="521" t="s">
        <v>879</v>
      </c>
      <c r="B12" s="512">
        <v>4027</v>
      </c>
      <c r="C12" s="522">
        <v>94521.72</v>
      </c>
      <c r="D12" s="512"/>
      <c r="E12" s="512">
        <v>3449</v>
      </c>
      <c r="F12" s="522">
        <v>84214</v>
      </c>
      <c r="H12" s="512">
        <v>3267</v>
      </c>
      <c r="I12" s="522">
        <v>83103</v>
      </c>
      <c r="J12" s="508"/>
      <c r="K12" s="508"/>
      <c r="L12" s="508"/>
    </row>
    <row r="13" spans="1:12" ht="15.6" customHeight="1">
      <c r="A13" s="521" t="s">
        <v>880</v>
      </c>
      <c r="B13" s="512">
        <v>1452</v>
      </c>
      <c r="C13" s="522">
        <v>29214.33</v>
      </c>
      <c r="D13" s="512"/>
      <c r="E13" s="512">
        <v>1388</v>
      </c>
      <c r="F13" s="522">
        <v>29261</v>
      </c>
      <c r="H13" s="512">
        <v>1075</v>
      </c>
      <c r="I13" s="522">
        <v>24572</v>
      </c>
      <c r="J13" s="508"/>
      <c r="K13" s="508"/>
      <c r="L13" s="508"/>
    </row>
    <row r="14" spans="1:12" ht="15.6" customHeight="1">
      <c r="A14" s="521" t="s">
        <v>881</v>
      </c>
      <c r="B14" s="512">
        <v>1161</v>
      </c>
      <c r="C14" s="522">
        <v>22029.49</v>
      </c>
      <c r="D14" s="512"/>
      <c r="E14" s="512">
        <v>1010</v>
      </c>
      <c r="F14" s="522">
        <v>17934</v>
      </c>
      <c r="H14" s="512">
        <v>769</v>
      </c>
      <c r="I14" s="522">
        <v>13160</v>
      </c>
      <c r="J14" s="508"/>
      <c r="K14" s="508"/>
      <c r="L14" s="508"/>
    </row>
    <row r="15" spans="1:12" ht="15.6" customHeight="1">
      <c r="A15" s="521" t="s">
        <v>882</v>
      </c>
      <c r="B15" s="512">
        <v>1899</v>
      </c>
      <c r="C15" s="522">
        <v>38295.33</v>
      </c>
      <c r="D15" s="512"/>
      <c r="E15" s="512">
        <v>1886</v>
      </c>
      <c r="F15" s="522">
        <v>37576</v>
      </c>
      <c r="H15" s="512">
        <v>1443</v>
      </c>
      <c r="I15" s="522">
        <v>31595</v>
      </c>
      <c r="J15" s="508"/>
      <c r="K15" s="508"/>
      <c r="L15" s="508"/>
    </row>
    <row r="16" spans="1:12" ht="15.6" customHeight="1">
      <c r="A16" s="521" t="s">
        <v>883</v>
      </c>
      <c r="B16" s="512">
        <v>5262</v>
      </c>
      <c r="C16" s="522">
        <v>131822</v>
      </c>
      <c r="D16" s="512"/>
      <c r="E16" s="512">
        <v>5108</v>
      </c>
      <c r="F16" s="522">
        <v>127431</v>
      </c>
      <c r="H16" s="512">
        <v>4088</v>
      </c>
      <c r="I16" s="522">
        <v>104817</v>
      </c>
      <c r="J16" s="508"/>
      <c r="K16" s="508"/>
      <c r="L16" s="508"/>
    </row>
    <row r="17" spans="1:12" ht="15.6" customHeight="1">
      <c r="A17" s="521" t="s">
        <v>884</v>
      </c>
      <c r="B17" s="512">
        <v>1254</v>
      </c>
      <c r="C17" s="522">
        <v>23149.27</v>
      </c>
      <c r="D17" s="512"/>
      <c r="E17" s="512">
        <v>1154</v>
      </c>
      <c r="F17" s="522">
        <v>22557</v>
      </c>
      <c r="H17" s="512">
        <v>833</v>
      </c>
      <c r="I17" s="522">
        <v>15806</v>
      </c>
      <c r="J17" s="508"/>
      <c r="K17" s="508"/>
      <c r="L17" s="508"/>
    </row>
    <row r="18" spans="1:12" ht="15.6" customHeight="1">
      <c r="A18" s="697" t="s">
        <v>1054</v>
      </c>
      <c r="B18" s="512">
        <v>1963</v>
      </c>
      <c r="C18" s="522">
        <v>37624.31</v>
      </c>
      <c r="D18" s="512"/>
      <c r="E18" s="512">
        <v>2187</v>
      </c>
      <c r="F18" s="522">
        <v>42923</v>
      </c>
      <c r="H18" s="512">
        <v>1641</v>
      </c>
      <c r="I18" s="522">
        <v>33499</v>
      </c>
      <c r="J18" s="508"/>
      <c r="K18" s="508"/>
      <c r="L18" s="508"/>
    </row>
    <row r="19" spans="1:12" ht="15.6" customHeight="1">
      <c r="A19" s="521" t="s">
        <v>885</v>
      </c>
      <c r="B19" s="512">
        <v>1244</v>
      </c>
      <c r="C19" s="522">
        <v>25828.26</v>
      </c>
      <c r="D19" s="512"/>
      <c r="E19" s="512">
        <v>1382</v>
      </c>
      <c r="F19" s="522">
        <v>28757</v>
      </c>
      <c r="H19" s="512">
        <v>972</v>
      </c>
      <c r="I19" s="522">
        <v>28616</v>
      </c>
      <c r="J19" s="508"/>
      <c r="K19" s="508"/>
      <c r="L19" s="508"/>
    </row>
    <row r="20" spans="1:12" ht="15.6" customHeight="1">
      <c r="A20" s="697" t="s">
        <v>1099</v>
      </c>
      <c r="B20" s="512">
        <v>20</v>
      </c>
      <c r="C20" s="522">
        <v>274</v>
      </c>
      <c r="D20" s="529"/>
      <c r="E20" s="512">
        <v>9</v>
      </c>
      <c r="F20" s="522">
        <v>112</v>
      </c>
      <c r="H20" s="995">
        <v>4</v>
      </c>
      <c r="I20" s="996">
        <v>26</v>
      </c>
      <c r="J20" s="508"/>
      <c r="K20" s="508"/>
      <c r="L20" s="508"/>
    </row>
    <row r="21" spans="1:12" ht="15.6" customHeight="1">
      <c r="A21" s="521" t="s">
        <v>886</v>
      </c>
      <c r="B21" s="512">
        <v>1163</v>
      </c>
      <c r="C21" s="522">
        <v>23416.73</v>
      </c>
      <c r="D21" s="512"/>
      <c r="E21" s="512">
        <v>923</v>
      </c>
      <c r="F21" s="522">
        <v>20586</v>
      </c>
      <c r="H21" s="512">
        <v>890</v>
      </c>
      <c r="I21" s="522">
        <v>21747</v>
      </c>
      <c r="J21" s="508"/>
      <c r="K21" s="508"/>
      <c r="L21" s="508"/>
    </row>
    <row r="22" spans="1:12" s="526" customFormat="1" ht="15.6" customHeight="1">
      <c r="A22" s="523" t="s">
        <v>887</v>
      </c>
      <c r="B22" s="524">
        <v>1775</v>
      </c>
      <c r="C22" s="522">
        <v>56391.65</v>
      </c>
      <c r="D22" s="525"/>
      <c r="E22" s="525">
        <v>1740</v>
      </c>
      <c r="F22" s="522">
        <v>57752</v>
      </c>
      <c r="H22" s="525">
        <v>1501</v>
      </c>
      <c r="I22" s="522">
        <v>55949</v>
      </c>
      <c r="J22" s="508"/>
      <c r="K22" s="508"/>
      <c r="L22" s="508"/>
    </row>
    <row r="23" spans="1:12" ht="15.6" customHeight="1">
      <c r="A23" s="521" t="s">
        <v>888</v>
      </c>
      <c r="B23" s="527">
        <v>1977</v>
      </c>
      <c r="C23" s="522">
        <v>41655.129999999997</v>
      </c>
      <c r="D23" s="522"/>
      <c r="E23" s="527">
        <v>1821</v>
      </c>
      <c r="F23" s="522">
        <v>36654</v>
      </c>
      <c r="G23" s="528"/>
      <c r="H23" s="527">
        <v>1456</v>
      </c>
      <c r="I23" s="522">
        <v>33306</v>
      </c>
      <c r="J23" s="508"/>
      <c r="K23" s="508"/>
      <c r="L23" s="508"/>
    </row>
    <row r="24" spans="1:12" ht="15.6" customHeight="1">
      <c r="A24" s="521" t="s">
        <v>889</v>
      </c>
      <c r="B24" s="522">
        <v>912</v>
      </c>
      <c r="C24" s="522">
        <v>18056.11</v>
      </c>
      <c r="D24" s="522"/>
      <c r="E24" s="522">
        <v>936</v>
      </c>
      <c r="F24" s="522">
        <v>18122</v>
      </c>
      <c r="G24" s="528"/>
      <c r="H24" s="522">
        <v>767</v>
      </c>
      <c r="I24" s="522">
        <v>16981</v>
      </c>
      <c r="J24" s="508"/>
      <c r="K24" s="508"/>
      <c r="L24" s="508"/>
    </row>
    <row r="25" spans="1:12" ht="15.6" customHeight="1">
      <c r="A25" s="521" t="s">
        <v>890</v>
      </c>
      <c r="B25" s="527">
        <v>2954</v>
      </c>
      <c r="C25" s="522">
        <v>63566.77</v>
      </c>
      <c r="D25" s="522"/>
      <c r="E25" s="527">
        <v>2279</v>
      </c>
      <c r="F25" s="522">
        <v>50344</v>
      </c>
      <c r="G25" s="528"/>
      <c r="H25" s="527">
        <v>2198</v>
      </c>
      <c r="I25" s="522">
        <v>51946</v>
      </c>
      <c r="J25" s="508"/>
      <c r="K25" s="508"/>
      <c r="L25" s="508"/>
    </row>
    <row r="26" spans="1:12" ht="15.6" customHeight="1">
      <c r="A26" s="521" t="s">
        <v>891</v>
      </c>
      <c r="B26" s="522">
        <v>1078</v>
      </c>
      <c r="C26" s="522">
        <v>19088.38</v>
      </c>
      <c r="D26" s="529"/>
      <c r="E26" s="522">
        <v>986</v>
      </c>
      <c r="F26" s="522">
        <v>20247</v>
      </c>
      <c r="G26" s="528"/>
      <c r="H26" s="522">
        <v>875</v>
      </c>
      <c r="I26" s="522">
        <v>18252</v>
      </c>
      <c r="J26" s="508"/>
      <c r="K26" s="508"/>
      <c r="L26" s="508"/>
    </row>
    <row r="27" spans="1:12" ht="15.6" customHeight="1">
      <c r="A27" s="521" t="s">
        <v>892</v>
      </c>
      <c r="B27" s="512">
        <v>1781</v>
      </c>
      <c r="C27" s="522">
        <v>40421.410000000003</v>
      </c>
      <c r="D27" s="529"/>
      <c r="E27" s="512">
        <v>1665</v>
      </c>
      <c r="F27" s="522">
        <v>37198</v>
      </c>
      <c r="H27" s="512">
        <v>1546</v>
      </c>
      <c r="I27" s="522">
        <v>37415</v>
      </c>
      <c r="J27" s="508"/>
      <c r="K27" s="508"/>
      <c r="L27" s="508"/>
    </row>
    <row r="28" spans="1:12" ht="15.6" customHeight="1">
      <c r="A28" s="697" t="s">
        <v>1098</v>
      </c>
      <c r="B28" s="512">
        <v>336</v>
      </c>
      <c r="C28" s="522">
        <v>4232</v>
      </c>
      <c r="D28" s="529"/>
      <c r="E28" s="512">
        <v>16</v>
      </c>
      <c r="F28" s="522">
        <v>462</v>
      </c>
      <c r="H28" s="512"/>
      <c r="I28" s="522"/>
      <c r="J28" s="508"/>
      <c r="K28" s="508"/>
      <c r="L28" s="508"/>
    </row>
    <row r="29" spans="1:12" ht="15.6" customHeight="1">
      <c r="A29" s="521" t="s">
        <v>893</v>
      </c>
      <c r="B29" s="512">
        <v>2101</v>
      </c>
      <c r="C29" s="522">
        <v>49960.800000000003</v>
      </c>
      <c r="D29" s="529"/>
      <c r="E29" s="512">
        <v>1989</v>
      </c>
      <c r="F29" s="522">
        <v>46333</v>
      </c>
      <c r="H29" s="512">
        <v>1710</v>
      </c>
      <c r="I29" s="522">
        <v>41868</v>
      </c>
      <c r="J29" s="508"/>
      <c r="K29" s="508"/>
      <c r="L29" s="508"/>
    </row>
    <row r="30" spans="1:12" ht="15.6" customHeight="1">
      <c r="A30" s="697" t="s">
        <v>1100</v>
      </c>
      <c r="B30" s="512">
        <v>437</v>
      </c>
      <c r="C30" s="522">
        <v>6985</v>
      </c>
      <c r="D30" s="529"/>
      <c r="E30" s="512">
        <v>17</v>
      </c>
      <c r="F30" s="522">
        <v>320</v>
      </c>
      <c r="H30" s="995" t="s">
        <v>1102</v>
      </c>
      <c r="I30" s="996" t="s">
        <v>1102</v>
      </c>
      <c r="J30" s="508"/>
      <c r="K30" s="508"/>
      <c r="L30" s="508"/>
    </row>
    <row r="31" spans="1:12" ht="15.6" customHeight="1">
      <c r="A31" s="521" t="s">
        <v>894</v>
      </c>
      <c r="B31" s="512">
        <v>1010</v>
      </c>
      <c r="C31" s="522">
        <v>18619</v>
      </c>
      <c r="D31" s="529"/>
      <c r="E31" s="512">
        <v>727</v>
      </c>
      <c r="F31" s="522">
        <v>15655</v>
      </c>
      <c r="H31" s="512">
        <v>561</v>
      </c>
      <c r="I31" s="522">
        <v>10621</v>
      </c>
      <c r="J31" s="508"/>
      <c r="K31" s="508"/>
      <c r="L31" s="508"/>
    </row>
    <row r="32" spans="1:12" ht="15.6" customHeight="1">
      <c r="A32" s="697" t="s">
        <v>1101</v>
      </c>
      <c r="B32" s="512">
        <v>306</v>
      </c>
      <c r="C32" s="522">
        <v>4316.5</v>
      </c>
      <c r="D32" s="529"/>
      <c r="E32" s="512"/>
      <c r="F32" s="522"/>
      <c r="H32" s="512"/>
      <c r="I32" s="522"/>
      <c r="J32" s="508"/>
      <c r="K32" s="508"/>
      <c r="L32" s="508"/>
    </row>
    <row r="33" spans="1:12" ht="15.6" customHeight="1">
      <c r="A33" s="521" t="s">
        <v>895</v>
      </c>
      <c r="B33" s="512">
        <v>2229</v>
      </c>
      <c r="C33" s="522">
        <v>55330.21</v>
      </c>
      <c r="D33" s="529"/>
      <c r="E33" s="512">
        <v>2800</v>
      </c>
      <c r="F33" s="522">
        <v>74412</v>
      </c>
      <c r="H33" s="512">
        <v>2056</v>
      </c>
      <c r="I33" s="522">
        <v>57644</v>
      </c>
      <c r="J33" s="508"/>
      <c r="K33" s="508"/>
      <c r="L33" s="508"/>
    </row>
    <row r="34" spans="1:12" ht="15.6" customHeight="1">
      <c r="A34" s="521" t="s">
        <v>896</v>
      </c>
      <c r="B34" s="512"/>
      <c r="C34" s="522"/>
      <c r="D34" s="529"/>
      <c r="E34" s="512">
        <v>1419</v>
      </c>
      <c r="F34" s="522">
        <v>48562</v>
      </c>
      <c r="H34" s="512">
        <v>1127</v>
      </c>
      <c r="I34" s="522">
        <v>37526</v>
      </c>
      <c r="J34" s="508"/>
      <c r="K34" s="508"/>
      <c r="L34" s="508"/>
    </row>
    <row r="35" spans="1:12" ht="15.6" customHeight="1">
      <c r="A35" s="521" t="s">
        <v>897</v>
      </c>
      <c r="B35" s="512"/>
      <c r="C35" s="522"/>
      <c r="D35" s="529"/>
      <c r="E35" s="512">
        <v>942</v>
      </c>
      <c r="F35" s="522">
        <v>15554</v>
      </c>
      <c r="H35" s="512">
        <v>828</v>
      </c>
      <c r="I35" s="522">
        <v>15974</v>
      </c>
      <c r="J35" s="508"/>
      <c r="K35" s="508"/>
      <c r="L35" s="508"/>
    </row>
    <row r="36" spans="1:12" ht="13.5">
      <c r="A36" s="530"/>
      <c r="B36" s="525"/>
      <c r="C36" s="531"/>
      <c r="D36" s="531"/>
      <c r="E36" s="525"/>
      <c r="F36" s="520"/>
      <c r="G36" s="520"/>
      <c r="H36" s="525"/>
      <c r="I36" s="520"/>
      <c r="J36" s="508"/>
    </row>
    <row r="37" spans="1:12" ht="15" customHeight="1">
      <c r="A37" s="532" t="s">
        <v>25</v>
      </c>
      <c r="B37" s="533">
        <f>SUM(B6:B35)</f>
        <v>53279</v>
      </c>
      <c r="C37" s="534">
        <f>SUM(C6:C35)</f>
        <v>1198502.51</v>
      </c>
      <c r="D37" s="535"/>
      <c r="E37" s="533">
        <f>SUM(E6:E35)</f>
        <v>50539</v>
      </c>
      <c r="F37" s="534">
        <f>SUM(F6:F35)</f>
        <v>1180465</v>
      </c>
      <c r="G37" s="534"/>
      <c r="H37" s="533">
        <f>SUM(H6:H35)</f>
        <v>42254</v>
      </c>
      <c r="I37" s="534">
        <f>SUM(I6:I35)</f>
        <v>1046307.6699999999</v>
      </c>
      <c r="J37" s="508"/>
    </row>
    <row r="38" spans="1:12" ht="15" customHeight="1">
      <c r="A38" s="530"/>
      <c r="B38" s="536"/>
      <c r="C38" s="537"/>
      <c r="D38" s="538"/>
      <c r="E38" s="536"/>
      <c r="F38" s="539"/>
      <c r="G38" s="539"/>
      <c r="H38" s="536"/>
      <c r="I38" s="539"/>
      <c r="J38" s="508"/>
    </row>
    <row r="39" spans="1:12" ht="15" customHeight="1">
      <c r="A39" s="530"/>
      <c r="B39" s="536"/>
      <c r="C39" s="538"/>
      <c r="D39" s="538"/>
      <c r="E39" s="536"/>
      <c r="F39" s="539"/>
      <c r="G39" s="539"/>
      <c r="H39" s="536"/>
      <c r="I39" s="539"/>
      <c r="J39" s="508"/>
    </row>
    <row r="40" spans="1:12" ht="15" customHeight="1">
      <c r="A40" s="524" t="s">
        <v>2</v>
      </c>
      <c r="B40" s="536"/>
      <c r="C40" s="538"/>
      <c r="D40" s="538"/>
      <c r="E40" s="536"/>
      <c r="F40" s="539"/>
      <c r="G40" s="539"/>
      <c r="H40" s="536"/>
      <c r="I40" s="539"/>
      <c r="J40" s="508"/>
    </row>
    <row r="41" spans="1:12" ht="27.75" customHeight="1">
      <c r="A41" s="1047" t="s">
        <v>898</v>
      </c>
      <c r="B41" s="1047"/>
      <c r="C41" s="1047"/>
      <c r="D41" s="1047"/>
      <c r="E41" s="1047"/>
      <c r="F41" s="1047"/>
      <c r="G41" s="1047"/>
      <c r="H41" s="1047"/>
      <c r="I41" s="1047"/>
      <c r="J41" s="508"/>
    </row>
    <row r="42" spans="1:12" ht="27.75" customHeight="1">
      <c r="A42" s="1048" t="s">
        <v>1094</v>
      </c>
      <c r="B42" s="1047"/>
      <c r="C42" s="1047"/>
      <c r="D42" s="1047"/>
      <c r="E42" s="1047"/>
      <c r="F42" s="1047"/>
      <c r="G42" s="1047"/>
      <c r="H42" s="1047"/>
      <c r="I42" s="1047"/>
      <c r="J42" s="508"/>
    </row>
    <row r="43" spans="1:12" ht="26.45" customHeight="1">
      <c r="A43" s="1049" t="s">
        <v>899</v>
      </c>
      <c r="B43" s="1049"/>
      <c r="C43" s="1049"/>
      <c r="D43" s="1049"/>
      <c r="E43" s="1049"/>
      <c r="F43" s="1049"/>
      <c r="G43" s="1049"/>
      <c r="H43" s="1049"/>
      <c r="I43" s="1049"/>
      <c r="J43" s="508"/>
    </row>
    <row r="44" spans="1:12" ht="13.5">
      <c r="A44" s="1048" t="s">
        <v>1107</v>
      </c>
      <c r="B44" s="1048"/>
      <c r="C44" s="1048"/>
      <c r="D44" s="1048"/>
      <c r="E44" s="1048"/>
      <c r="F44" s="1048"/>
      <c r="G44" s="1048"/>
      <c r="H44" s="1048"/>
      <c r="I44" s="1048"/>
      <c r="J44" s="508"/>
    </row>
    <row r="45" spans="1:12" ht="27" customHeight="1">
      <c r="A45" s="1043" t="s">
        <v>1115</v>
      </c>
      <c r="B45" s="1044"/>
      <c r="C45" s="1044"/>
      <c r="D45" s="1044"/>
      <c r="E45" s="1044"/>
      <c r="F45" s="1044"/>
      <c r="G45" s="1044"/>
      <c r="H45" s="1044"/>
      <c r="I45" s="1044"/>
    </row>
    <row r="46" spans="1:12" ht="27" customHeight="1">
      <c r="A46" s="1043" t="s">
        <v>1097</v>
      </c>
      <c r="B46" s="1044"/>
      <c r="C46" s="1044"/>
      <c r="D46" s="1044"/>
      <c r="E46" s="1044"/>
      <c r="F46" s="1044"/>
      <c r="G46" s="1044"/>
      <c r="H46" s="1044"/>
      <c r="I46" s="1044"/>
    </row>
  </sheetData>
  <mergeCells count="9">
    <mergeCell ref="A45:I45"/>
    <mergeCell ref="A46:I46"/>
    <mergeCell ref="B4:C4"/>
    <mergeCell ref="E4:F4"/>
    <mergeCell ref="H4:I4"/>
    <mergeCell ref="A41:I41"/>
    <mergeCell ref="A42:I42"/>
    <mergeCell ref="A43:I43"/>
    <mergeCell ref="A44:I44"/>
  </mergeCells>
  <conditionalFormatting sqref="J6:L35">
    <cfRule type="cellIs" dxfId="3" priority="1" stopIfTrue="1" operator="equal">
      <formula>0</formula>
    </cfRule>
  </conditionalFormatting>
  <printOptions horizontalCentered="1"/>
  <pageMargins left="0.5" right="0.5" top="0.5" bottom="1" header="0.5" footer="0.5"/>
  <pageSetup scale="63" firstPageNumber="23" orientation="landscape" useFirstPageNumber="1" r:id="rId1"/>
  <headerFooter alignWithMargins="0"/>
  <ignoredErrors>
    <ignoredError sqref="D37 G37" formulaRange="1"/>
  </ignoredErrors>
</worksheet>
</file>

<file path=xl/worksheets/sheet14.xml><?xml version="1.0" encoding="utf-8"?>
<worksheet xmlns="http://schemas.openxmlformats.org/spreadsheetml/2006/main" xmlns:r="http://schemas.openxmlformats.org/officeDocument/2006/relationships">
  <sheetPr codeName="Sheet14"/>
  <dimension ref="A1:F43"/>
  <sheetViews>
    <sheetView zoomScaleNormal="100" workbookViewId="0"/>
  </sheetViews>
  <sheetFormatPr defaultColWidth="11.42578125" defaultRowHeight="15"/>
  <cols>
    <col min="1" max="1" width="36.28515625" style="209" bestFit="1" customWidth="1"/>
    <col min="2" max="3" width="11.42578125" style="209" customWidth="1"/>
    <col min="4" max="4" width="15.28515625" style="209" bestFit="1" customWidth="1"/>
    <col min="5" max="5" width="11.42578125" style="209" customWidth="1"/>
    <col min="6" max="6" width="14" style="209" bestFit="1" customWidth="1"/>
    <col min="7" max="16384" width="11.42578125" style="209"/>
  </cols>
  <sheetData>
    <row r="1" spans="1:6" ht="18">
      <c r="A1" s="208" t="s">
        <v>441</v>
      </c>
    </row>
    <row r="2" spans="1:6" ht="15.75">
      <c r="A2" s="210" t="s">
        <v>442</v>
      </c>
    </row>
    <row r="4" spans="1:6" ht="15.75" thickBot="1">
      <c r="A4" s="211"/>
      <c r="B4" s="211"/>
      <c r="C4" s="211"/>
      <c r="D4" s="211"/>
    </row>
    <row r="5" spans="1:6" ht="15.75" thickTop="1">
      <c r="A5" s="212" t="s">
        <v>44</v>
      </c>
      <c r="B5" s="212"/>
      <c r="C5" s="212"/>
      <c r="D5" s="212" t="s">
        <v>30</v>
      </c>
      <c r="E5" s="211"/>
    </row>
    <row r="6" spans="1:6">
      <c r="A6" s="213">
        <v>2002</v>
      </c>
      <c r="B6" s="214"/>
      <c r="C6" s="214"/>
      <c r="D6" s="215">
        <v>290215035</v>
      </c>
      <c r="E6" s="216"/>
    </row>
    <row r="7" spans="1:6">
      <c r="A7" s="213">
        <v>2003</v>
      </c>
      <c r="B7" s="214"/>
      <c r="C7" s="214"/>
      <c r="D7" s="217">
        <v>343318607</v>
      </c>
      <c r="E7" s="216"/>
    </row>
    <row r="8" spans="1:6">
      <c r="A8" s="213">
        <v>2004</v>
      </c>
      <c r="B8" s="214"/>
      <c r="C8" s="214"/>
      <c r="D8" s="217">
        <v>425715754</v>
      </c>
      <c r="E8" s="216"/>
    </row>
    <row r="9" spans="1:6">
      <c r="A9" s="213">
        <v>2005</v>
      </c>
      <c r="B9" s="214"/>
      <c r="C9" s="214"/>
      <c r="D9" s="218">
        <v>616690263</v>
      </c>
      <c r="E9" s="216"/>
      <c r="F9" s="218"/>
    </row>
    <row r="10" spans="1:6">
      <c r="A10" s="213">
        <v>2006</v>
      </c>
      <c r="B10" s="214"/>
      <c r="C10" s="214"/>
      <c r="D10" s="217">
        <v>867115786</v>
      </c>
      <c r="E10" s="216"/>
    </row>
    <row r="11" spans="1:6">
      <c r="A11" s="219">
        <v>2007</v>
      </c>
      <c r="B11" s="214"/>
      <c r="C11" s="214"/>
      <c r="D11" s="218">
        <v>879575371</v>
      </c>
      <c r="E11" s="216"/>
    </row>
    <row r="12" spans="1:6">
      <c r="A12" s="219">
        <v>2008</v>
      </c>
      <c r="B12" s="214"/>
      <c r="C12" s="214"/>
      <c r="D12" s="218">
        <v>807851584</v>
      </c>
      <c r="E12" s="216"/>
    </row>
    <row r="13" spans="1:6">
      <c r="A13" s="219">
        <v>2009</v>
      </c>
      <c r="D13" s="218">
        <v>648032537</v>
      </c>
      <c r="E13" s="216"/>
    </row>
    <row r="14" spans="1:6">
      <c r="A14" s="219">
        <v>2010</v>
      </c>
      <c r="D14" s="218">
        <v>806472760</v>
      </c>
      <c r="E14" s="216"/>
    </row>
    <row r="15" spans="1:6">
      <c r="A15" s="219">
        <v>2011</v>
      </c>
      <c r="D15" s="220">
        <f>1013731935.17-191473132.33</f>
        <v>822258802.83999991</v>
      </c>
    </row>
    <row r="16" spans="1:6">
      <c r="A16" s="219">
        <v>2012</v>
      </c>
      <c r="D16" s="220">
        <f>1086390871.37-226468031.82</f>
        <v>859922839.54999995</v>
      </c>
    </row>
    <row r="18" spans="1:1">
      <c r="A18" s="209" t="s">
        <v>2</v>
      </c>
    </row>
    <row r="19" spans="1:1">
      <c r="A19" s="209" t="s">
        <v>443</v>
      </c>
    </row>
    <row r="20" spans="1:1">
      <c r="A20" s="209" t="s">
        <v>444</v>
      </c>
    </row>
    <row r="42" spans="1:4">
      <c r="A42" s="213"/>
      <c r="B42" s="214"/>
      <c r="C42" s="214"/>
      <c r="D42" s="221"/>
    </row>
    <row r="43" spans="1:4">
      <c r="A43" s="219"/>
      <c r="B43" s="214"/>
      <c r="C43" s="214"/>
      <c r="D43" s="222"/>
    </row>
  </sheetData>
  <printOptions horizontalCentered="1"/>
  <pageMargins left="0.75" right="0.75" top="1" bottom="1" header="0.5" footer="0.5"/>
  <pageSetup scale="7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sheetPr codeName="Sheet10"/>
  <dimension ref="A1:P32"/>
  <sheetViews>
    <sheetView zoomScaleNormal="100" workbookViewId="0">
      <selection activeCell="C19" sqref="C19"/>
    </sheetView>
  </sheetViews>
  <sheetFormatPr defaultColWidth="9.140625" defaultRowHeight="12.75"/>
  <cols>
    <col min="1" max="1" width="27.85546875" style="67" customWidth="1"/>
    <col min="2" max="2" width="12.140625" style="67" customWidth="1"/>
    <col min="3" max="3" width="3.140625" style="67" customWidth="1"/>
    <col min="4" max="4" width="10.140625" style="67" customWidth="1"/>
    <col min="5" max="5" width="3.140625" style="67" customWidth="1"/>
    <col min="6" max="6" width="12.5703125" style="67" customWidth="1"/>
    <col min="7" max="7" width="2.5703125" style="67" customWidth="1"/>
    <col min="8" max="8" width="15.5703125" style="67" bestFit="1" customWidth="1"/>
    <col min="9" max="9" width="2.5703125" style="67" customWidth="1"/>
    <col min="10" max="10" width="9.42578125" style="67" bestFit="1" customWidth="1"/>
    <col min="11" max="11" width="2.5703125" style="67" customWidth="1"/>
    <col min="12" max="12" width="15.85546875" style="67" bestFit="1" customWidth="1"/>
    <col min="13" max="13" width="2.5703125" style="67" customWidth="1"/>
    <col min="14" max="14" width="9.42578125" style="67" bestFit="1" customWidth="1"/>
    <col min="15" max="16384" width="9.140625" style="67"/>
  </cols>
  <sheetData>
    <row r="1" spans="1:16" ht="18">
      <c r="A1" s="62" t="s">
        <v>45</v>
      </c>
      <c r="B1" s="65"/>
      <c r="C1" s="65"/>
      <c r="D1" s="65"/>
      <c r="E1" s="65"/>
      <c r="F1" s="66"/>
      <c r="G1" s="66"/>
      <c r="H1" s="65"/>
      <c r="I1" s="65"/>
      <c r="J1" s="66"/>
      <c r="K1" s="66"/>
      <c r="L1" s="65"/>
      <c r="M1" s="65"/>
      <c r="N1" s="66"/>
    </row>
    <row r="2" spans="1:16" ht="15.75">
      <c r="A2" s="63" t="s">
        <v>46</v>
      </c>
      <c r="B2" s="65"/>
      <c r="C2" s="65"/>
      <c r="D2" s="65"/>
      <c r="E2" s="65"/>
      <c r="F2" s="66"/>
      <c r="G2" s="66"/>
      <c r="H2" s="65"/>
      <c r="I2" s="65"/>
      <c r="J2" s="66"/>
      <c r="K2" s="66"/>
      <c r="L2" s="65"/>
      <c r="M2" s="65"/>
      <c r="N2" s="66"/>
    </row>
    <row r="3" spans="1:16">
      <c r="A3" s="1000" t="s">
        <v>1105</v>
      </c>
      <c r="B3" s="69"/>
      <c r="C3" s="69"/>
      <c r="D3" s="69"/>
      <c r="E3" s="69"/>
      <c r="F3" s="70"/>
      <c r="G3" s="70"/>
      <c r="H3" s="69"/>
      <c r="I3" s="69"/>
      <c r="J3" s="70"/>
      <c r="K3" s="70"/>
      <c r="L3" s="69"/>
      <c r="M3" s="69"/>
      <c r="N3" s="70"/>
    </row>
    <row r="4" spans="1:16" ht="13.5" thickBot="1">
      <c r="A4" s="68"/>
      <c r="B4" s="69"/>
      <c r="C4" s="69"/>
      <c r="D4" s="69"/>
      <c r="E4" s="69"/>
      <c r="F4" s="70"/>
      <c r="G4" s="70"/>
      <c r="H4" s="69"/>
      <c r="I4" s="69"/>
      <c r="J4" s="70"/>
      <c r="K4" s="70"/>
      <c r="L4" s="69"/>
      <c r="M4" s="69"/>
      <c r="N4" s="70"/>
    </row>
    <row r="5" spans="1:16">
      <c r="A5" s="71" t="s">
        <v>47</v>
      </c>
      <c r="B5" s="1050" t="s">
        <v>48</v>
      </c>
      <c r="C5" s="1050"/>
      <c r="D5" s="1050"/>
      <c r="E5" s="1051"/>
      <c r="F5" s="72" t="s">
        <v>49</v>
      </c>
      <c r="G5" s="73"/>
      <c r="H5" s="74" t="s">
        <v>50</v>
      </c>
      <c r="I5" s="74"/>
      <c r="J5" s="72" t="s">
        <v>49</v>
      </c>
      <c r="K5" s="72"/>
      <c r="L5" s="74" t="s">
        <v>51</v>
      </c>
      <c r="M5" s="74"/>
      <c r="N5" s="72" t="s">
        <v>49</v>
      </c>
    </row>
    <row r="6" spans="1:16" ht="14.25">
      <c r="A6" s="75" t="s">
        <v>52</v>
      </c>
      <c r="B6" s="76" t="s">
        <v>72</v>
      </c>
      <c r="C6" s="77"/>
      <c r="D6" s="76" t="s">
        <v>53</v>
      </c>
      <c r="E6" s="78"/>
      <c r="F6" s="79" t="s">
        <v>25</v>
      </c>
      <c r="G6" s="80"/>
      <c r="H6" s="78" t="s">
        <v>32</v>
      </c>
      <c r="I6" s="78"/>
      <c r="J6" s="79" t="s">
        <v>25</v>
      </c>
      <c r="K6" s="79"/>
      <c r="L6" s="78" t="s">
        <v>54</v>
      </c>
      <c r="M6" s="78"/>
      <c r="N6" s="79" t="s">
        <v>25</v>
      </c>
    </row>
    <row r="7" spans="1:16">
      <c r="A7" s="81"/>
      <c r="B7" s="82"/>
      <c r="C7" s="82"/>
      <c r="D7" s="82"/>
      <c r="E7" s="82"/>
      <c r="F7" s="83"/>
      <c r="G7" s="83"/>
      <c r="H7" s="82"/>
      <c r="I7" s="82"/>
      <c r="J7" s="83"/>
      <c r="K7" s="83"/>
      <c r="L7" s="82"/>
      <c r="M7" s="82"/>
      <c r="N7" s="83"/>
    </row>
    <row r="8" spans="1:16">
      <c r="A8" s="84" t="s">
        <v>55</v>
      </c>
      <c r="B8" s="85">
        <v>184760</v>
      </c>
      <c r="C8" s="69"/>
      <c r="D8" s="85">
        <v>41870</v>
      </c>
      <c r="E8" s="69"/>
      <c r="F8" s="86">
        <v>0.65857149598125109</v>
      </c>
      <c r="G8" s="86"/>
      <c r="H8" s="87">
        <v>0</v>
      </c>
      <c r="I8" s="88"/>
      <c r="J8" s="89">
        <v>0</v>
      </c>
      <c r="K8" s="89"/>
      <c r="L8" s="87">
        <v>3664239.62</v>
      </c>
      <c r="M8" s="88"/>
      <c r="N8" s="89">
        <v>5.1472296077504998E-3</v>
      </c>
      <c r="O8" s="44"/>
      <c r="P8" s="846"/>
    </row>
    <row r="9" spans="1:16">
      <c r="A9" s="90" t="s">
        <v>56</v>
      </c>
      <c r="B9" s="85"/>
      <c r="C9" s="69"/>
      <c r="D9" s="85">
        <v>13544</v>
      </c>
      <c r="E9" s="69"/>
      <c r="F9" s="86">
        <v>0.21303301508407127</v>
      </c>
      <c r="G9" s="86"/>
      <c r="H9" s="91">
        <v>79935260.540000007</v>
      </c>
      <c r="I9" s="88"/>
      <c r="J9" s="89">
        <v>6.8650625846216453E-3</v>
      </c>
      <c r="K9" s="89"/>
      <c r="L9" s="91">
        <v>4817536.25</v>
      </c>
      <c r="M9" s="88"/>
      <c r="N9" s="89">
        <v>6.767288112672968E-3</v>
      </c>
      <c r="O9" s="44"/>
      <c r="P9" s="846"/>
    </row>
    <row r="10" spans="1:16">
      <c r="A10" s="90" t="s">
        <v>57</v>
      </c>
      <c r="B10" s="85"/>
      <c r="C10" s="69"/>
      <c r="D10" s="85">
        <v>2266</v>
      </c>
      <c r="E10" s="69"/>
      <c r="F10" s="86">
        <v>3.5641820155087531E-2</v>
      </c>
      <c r="G10" s="86"/>
      <c r="H10" s="91">
        <v>81911141.329999998</v>
      </c>
      <c r="I10" s="92"/>
      <c r="J10" s="89">
        <v>7.0347567244976742E-3</v>
      </c>
      <c r="K10" s="89"/>
      <c r="L10" s="91">
        <v>4940909.96</v>
      </c>
      <c r="M10" s="92"/>
      <c r="N10" s="89">
        <v>6.9405935945153442E-3</v>
      </c>
      <c r="O10" s="44"/>
      <c r="P10" s="846"/>
    </row>
    <row r="11" spans="1:16">
      <c r="A11" s="90" t="s">
        <v>58</v>
      </c>
      <c r="B11" s="85"/>
      <c r="C11" s="69"/>
      <c r="D11" s="85">
        <v>1914</v>
      </c>
      <c r="E11" s="69"/>
      <c r="F11" s="86">
        <v>3.0105226732938011E-2</v>
      </c>
      <c r="G11" s="86"/>
      <c r="H11" s="91">
        <v>135348169</v>
      </c>
      <c r="I11" s="92"/>
      <c r="J11" s="89">
        <v>1.1624077342363625E-2</v>
      </c>
      <c r="K11" s="89"/>
      <c r="L11" s="91">
        <v>8130111.9199999999</v>
      </c>
      <c r="M11" s="92"/>
      <c r="N11" s="89">
        <v>1.1420528439389906E-2</v>
      </c>
      <c r="O11" s="44"/>
      <c r="P11" s="846"/>
    </row>
    <row r="12" spans="1:16">
      <c r="A12" s="90" t="s">
        <v>59</v>
      </c>
      <c r="B12" s="85"/>
      <c r="C12" s="69"/>
      <c r="D12" s="85">
        <v>2353</v>
      </c>
      <c r="E12" s="69"/>
      <c r="F12" s="86">
        <v>3.7010239552039262E-2</v>
      </c>
      <c r="G12" s="86"/>
      <c r="H12" s="91">
        <v>532098127</v>
      </c>
      <c r="I12" s="92"/>
      <c r="J12" s="89">
        <v>4.5698067640463039E-2</v>
      </c>
      <c r="K12" s="89"/>
      <c r="L12" s="91">
        <v>32159594.02</v>
      </c>
      <c r="M12" s="92"/>
      <c r="N12" s="93">
        <v>4.5175215509781513E-2</v>
      </c>
      <c r="O12" s="44"/>
      <c r="P12" s="846"/>
    </row>
    <row r="13" spans="1:16">
      <c r="A13" s="90" t="s">
        <v>60</v>
      </c>
      <c r="B13" s="85"/>
      <c r="C13" s="69"/>
      <c r="D13" s="85">
        <v>591</v>
      </c>
      <c r="E13" s="69"/>
      <c r="F13" s="86">
        <v>9.2958145241203577E-3</v>
      </c>
      <c r="G13" s="86"/>
      <c r="H13" s="91">
        <v>421941390.32999998</v>
      </c>
      <c r="I13" s="92"/>
      <c r="J13" s="89">
        <v>3.623750059847769E-2</v>
      </c>
      <c r="K13" s="89"/>
      <c r="L13" s="91">
        <v>25325613.600000001</v>
      </c>
      <c r="M13" s="92"/>
      <c r="N13" s="93">
        <v>3.5575388532142101E-2</v>
      </c>
      <c r="O13" s="44"/>
      <c r="P13" s="846"/>
    </row>
    <row r="14" spans="1:16">
      <c r="A14" s="90" t="s">
        <v>61</v>
      </c>
      <c r="B14" s="85"/>
      <c r="C14" s="69"/>
      <c r="D14" s="85">
        <v>395</v>
      </c>
      <c r="E14" s="69"/>
      <c r="F14" s="86">
        <v>6.2129386413325577E-3</v>
      </c>
      <c r="G14" s="86"/>
      <c r="H14" s="91">
        <v>553814947</v>
      </c>
      <c r="I14" s="92"/>
      <c r="J14" s="89">
        <v>4.7563168566284869E-2</v>
      </c>
      <c r="K14" s="89"/>
      <c r="L14" s="91">
        <v>33228896.82</v>
      </c>
      <c r="M14" s="92"/>
      <c r="N14" s="89">
        <v>4.6677286226382335E-2</v>
      </c>
      <c r="O14" s="44"/>
      <c r="P14" s="846"/>
    </row>
    <row r="15" spans="1:16">
      <c r="A15" s="90" t="s">
        <v>62</v>
      </c>
      <c r="B15" s="85"/>
      <c r="C15" s="69"/>
      <c r="D15" s="85">
        <v>475</v>
      </c>
      <c r="E15" s="69"/>
      <c r="F15" s="86">
        <v>7.4712553281847211E-3</v>
      </c>
      <c r="G15" s="86"/>
      <c r="H15" s="91">
        <v>1905362064</v>
      </c>
      <c r="I15" s="92"/>
      <c r="J15" s="89">
        <v>0.16363779547798382</v>
      </c>
      <c r="K15" s="89"/>
      <c r="L15" s="91">
        <v>114885883.31999999</v>
      </c>
      <c r="M15" s="92"/>
      <c r="N15" s="89">
        <v>0.16138246442989809</v>
      </c>
      <c r="O15" s="44"/>
      <c r="P15" s="846"/>
    </row>
    <row r="16" spans="1:16">
      <c r="A16" s="90" t="s">
        <v>63</v>
      </c>
      <c r="B16" s="85"/>
      <c r="C16" s="69"/>
      <c r="D16" s="85">
        <v>169</v>
      </c>
      <c r="E16" s="69"/>
      <c r="F16" s="86">
        <v>2.6581940009751956E-3</v>
      </c>
      <c r="G16" s="86"/>
      <c r="H16" s="91">
        <v>7925200625.6700001</v>
      </c>
      <c r="I16" s="92"/>
      <c r="J16" s="89">
        <v>0.68063828057058295</v>
      </c>
      <c r="K16" s="89"/>
      <c r="L16" s="91">
        <v>484243032.22000003</v>
      </c>
      <c r="M16" s="92"/>
      <c r="N16" s="89">
        <v>0.68022573064958658</v>
      </c>
      <c r="O16" s="44"/>
      <c r="P16" s="846"/>
    </row>
    <row r="17" spans="1:14">
      <c r="A17" s="90"/>
      <c r="B17" s="69"/>
      <c r="C17" s="69"/>
      <c r="D17" s="69"/>
      <c r="E17" s="69"/>
      <c r="F17" s="94"/>
      <c r="G17" s="94"/>
      <c r="H17" s="69"/>
      <c r="I17" s="69"/>
      <c r="J17" s="94"/>
      <c r="K17" s="94"/>
      <c r="L17" s="69"/>
      <c r="M17" s="69"/>
      <c r="N17" s="94"/>
    </row>
    <row r="18" spans="1:14">
      <c r="A18" s="95" t="s">
        <v>64</v>
      </c>
      <c r="B18" s="96">
        <f>B8</f>
        <v>184760</v>
      </c>
      <c r="C18" s="96"/>
      <c r="D18" s="96">
        <f>SUM(D8:D16)</f>
        <v>63577</v>
      </c>
      <c r="E18" s="97"/>
      <c r="F18" s="98">
        <f>SUM(F8:F16)</f>
        <v>1</v>
      </c>
      <c r="G18" s="98"/>
      <c r="H18" s="99">
        <f>SUM(H8:H16)</f>
        <v>11635611724.869999</v>
      </c>
      <c r="I18" s="100"/>
      <c r="J18" s="98">
        <f>SUM(J8:J16)</f>
        <v>0.99929870950527533</v>
      </c>
      <c r="K18" s="98"/>
      <c r="L18" s="99">
        <f>SUM(L8:L16)</f>
        <v>711395817.73000002</v>
      </c>
      <c r="M18" s="100"/>
      <c r="N18" s="854">
        <f>SUM(N8:N16)</f>
        <v>0.9993117251021193</v>
      </c>
    </row>
    <row r="19" spans="1:14">
      <c r="A19" s="101"/>
      <c r="B19" s="102"/>
      <c r="C19" s="102"/>
      <c r="D19" s="102"/>
      <c r="E19" s="102"/>
      <c r="F19" s="103"/>
      <c r="G19" s="103"/>
      <c r="H19" s="104"/>
      <c r="I19" s="104"/>
      <c r="J19" s="104"/>
      <c r="K19" s="103"/>
      <c r="L19" s="104"/>
      <c r="M19" s="104"/>
      <c r="N19" s="103"/>
    </row>
    <row r="20" spans="1:14">
      <c r="A20" s="84" t="s">
        <v>65</v>
      </c>
      <c r="B20" s="85"/>
      <c r="C20" s="69"/>
      <c r="D20" s="85"/>
      <c r="E20" s="69"/>
      <c r="F20" s="94"/>
      <c r="G20" s="105"/>
      <c r="H20" s="85"/>
      <c r="I20" s="69"/>
      <c r="J20" s="847">
        <v>7.0129049472467055E-4</v>
      </c>
      <c r="K20" s="94"/>
      <c r="L20" s="85">
        <v>489973.12000012398</v>
      </c>
      <c r="M20" s="69"/>
      <c r="N20" s="94">
        <v>6.8827489788086699E-4</v>
      </c>
    </row>
    <row r="21" spans="1:14">
      <c r="A21" s="84"/>
      <c r="B21" s="69"/>
      <c r="C21" s="69"/>
      <c r="D21" s="69"/>
      <c r="E21" s="69"/>
      <c r="F21" s="105"/>
      <c r="G21" s="105"/>
      <c r="H21" s="92"/>
      <c r="I21" s="92"/>
      <c r="J21" s="92"/>
      <c r="K21" s="94"/>
      <c r="L21" s="69"/>
      <c r="M21" s="69"/>
      <c r="N21" s="94"/>
    </row>
    <row r="22" spans="1:14">
      <c r="A22" s="106" t="s">
        <v>66</v>
      </c>
      <c r="B22" s="107"/>
      <c r="C22" s="107"/>
      <c r="D22" s="107"/>
      <c r="E22" s="107"/>
      <c r="F22" s="108"/>
      <c r="G22" s="108"/>
      <c r="H22" s="109"/>
      <c r="I22" s="109"/>
      <c r="J22" s="110">
        <f>SUM(J18,J20)</f>
        <v>1</v>
      </c>
      <c r="K22" s="108"/>
      <c r="L22" s="111">
        <f>SUM(L18,L20)</f>
        <v>711885790.85000014</v>
      </c>
      <c r="M22" s="109"/>
      <c r="N22" s="110">
        <f>SUM(N18,N20)</f>
        <v>1.0000000000000002</v>
      </c>
    </row>
    <row r="23" spans="1:14">
      <c r="A23" s="112"/>
      <c r="B23" s="113"/>
      <c r="C23" s="113"/>
      <c r="D23" s="113"/>
      <c r="E23" s="113"/>
      <c r="F23" s="114"/>
      <c r="G23" s="114"/>
      <c r="H23" s="115"/>
      <c r="I23" s="115"/>
      <c r="J23" s="114"/>
      <c r="K23" s="114"/>
      <c r="L23" s="115"/>
      <c r="M23" s="115"/>
      <c r="N23" s="114"/>
    </row>
    <row r="24" spans="1:14" ht="13.15" customHeight="1">
      <c r="A24" s="101" t="s">
        <v>2</v>
      </c>
      <c r="B24" s="116"/>
      <c r="C24" s="116"/>
      <c r="D24" s="116"/>
      <c r="E24" s="116"/>
      <c r="F24" s="117"/>
      <c r="G24" s="117"/>
      <c r="H24" s="118"/>
      <c r="I24" s="118"/>
      <c r="J24" s="117"/>
      <c r="K24" s="117"/>
      <c r="L24" s="118"/>
      <c r="M24" s="118"/>
      <c r="N24" s="117"/>
    </row>
    <row r="25" spans="1:14" ht="13.15" customHeight="1">
      <c r="A25" s="84" t="s">
        <v>67</v>
      </c>
      <c r="B25" s="69"/>
      <c r="C25" s="69"/>
      <c r="D25" s="69"/>
      <c r="E25" s="69"/>
      <c r="F25" s="70"/>
      <c r="G25" s="70"/>
      <c r="H25" s="69"/>
      <c r="I25" s="69"/>
      <c r="J25" s="70"/>
      <c r="K25" s="70"/>
      <c r="L25" s="119"/>
      <c r="M25" s="119"/>
      <c r="N25" s="70"/>
    </row>
    <row r="26" spans="1:14" ht="13.15" customHeight="1">
      <c r="A26" s="84" t="s">
        <v>68</v>
      </c>
      <c r="B26" s="69"/>
      <c r="C26" s="69"/>
      <c r="D26" s="69"/>
      <c r="E26" s="69"/>
      <c r="F26" s="70"/>
      <c r="G26" s="70"/>
      <c r="H26" s="69"/>
      <c r="I26" s="69"/>
      <c r="J26" s="70"/>
      <c r="K26" s="70"/>
      <c r="L26" s="119"/>
      <c r="M26" s="119"/>
      <c r="N26" s="70"/>
    </row>
    <row r="27" spans="1:14" ht="13.15" customHeight="1">
      <c r="A27" s="84" t="s">
        <v>69</v>
      </c>
      <c r="B27" s="69"/>
      <c r="C27" s="69"/>
      <c r="D27" s="69"/>
      <c r="E27" s="69"/>
      <c r="F27" s="70"/>
      <c r="G27" s="70"/>
      <c r="H27" s="69"/>
      <c r="I27" s="69"/>
      <c r="J27" s="70"/>
      <c r="K27" s="70"/>
      <c r="L27" s="119"/>
      <c r="M27" s="119"/>
      <c r="N27" s="70"/>
    </row>
    <row r="28" spans="1:14" ht="13.15" customHeight="1">
      <c r="A28" s="68" t="s">
        <v>70</v>
      </c>
      <c r="B28" s="69"/>
      <c r="C28" s="69"/>
      <c r="D28" s="69"/>
      <c r="E28" s="69"/>
      <c r="F28" s="70"/>
      <c r="G28" s="70"/>
      <c r="H28" s="69"/>
      <c r="I28" s="69"/>
      <c r="J28" s="70"/>
      <c r="K28" s="70"/>
      <c r="L28" s="69"/>
      <c r="M28" s="69"/>
      <c r="N28" s="70"/>
    </row>
    <row r="29" spans="1:14" ht="13.15" customHeight="1">
      <c r="A29" s="68" t="s">
        <v>71</v>
      </c>
      <c r="B29" s="69"/>
      <c r="C29" s="69"/>
      <c r="D29" s="69"/>
      <c r="E29" s="69"/>
      <c r="F29" s="70"/>
      <c r="G29" s="70"/>
      <c r="H29" s="69"/>
      <c r="I29" s="69"/>
      <c r="J29" s="70"/>
      <c r="K29" s="70"/>
      <c r="L29" s="69"/>
      <c r="M29" s="69"/>
      <c r="N29" s="70"/>
    </row>
    <row r="30" spans="1:14" ht="13.15" customHeight="1">
      <c r="A30" s="68"/>
      <c r="B30" s="69"/>
      <c r="C30" s="69"/>
      <c r="D30" s="69"/>
      <c r="E30" s="69"/>
      <c r="F30" s="70"/>
      <c r="G30" s="70"/>
      <c r="H30" s="69"/>
      <c r="I30" s="69"/>
      <c r="J30" s="70"/>
      <c r="K30" s="70"/>
      <c r="L30" s="69"/>
      <c r="M30" s="69"/>
      <c r="N30" s="70"/>
    </row>
    <row r="31" spans="1:14" ht="26.45" customHeight="1">
      <c r="A31" s="1052" t="s">
        <v>1106</v>
      </c>
      <c r="B31" s="1053"/>
      <c r="C31" s="1053"/>
      <c r="D31" s="1053"/>
      <c r="E31" s="1053"/>
      <c r="F31" s="1053"/>
      <c r="G31" s="1053"/>
      <c r="H31" s="1053"/>
      <c r="I31" s="1053"/>
      <c r="J31" s="1053"/>
      <c r="K31" s="1053"/>
      <c r="L31" s="1053"/>
      <c r="M31" s="1053"/>
      <c r="N31" s="1053"/>
    </row>
    <row r="32" spans="1:14" ht="26.45" customHeight="1">
      <c r="A32" s="1054" t="s">
        <v>1110</v>
      </c>
      <c r="B32" s="1055"/>
      <c r="C32" s="1055"/>
      <c r="D32" s="1055"/>
      <c r="E32" s="1055"/>
      <c r="F32" s="1055"/>
      <c r="G32" s="1055"/>
      <c r="H32" s="1055"/>
      <c r="I32" s="1055"/>
      <c r="J32" s="1055"/>
      <c r="K32" s="1055"/>
      <c r="L32" s="1055"/>
      <c r="M32" s="1055"/>
      <c r="N32" s="1053"/>
    </row>
  </sheetData>
  <mergeCells count="3">
    <mergeCell ref="B5:E5"/>
    <mergeCell ref="A31:N31"/>
    <mergeCell ref="A32:N32"/>
  </mergeCells>
  <phoneticPr fontId="13" type="noConversion"/>
  <printOptions horizontalCentered="1"/>
  <pageMargins left="0.5" right="0.5" top="1" bottom="1" header="0.5" footer="0.5"/>
  <pageSetup scale="94" firstPageNumber="25" orientation="landscape" useFirstPageNumber="1" r:id="rId1"/>
  <headerFooter alignWithMargins="0"/>
</worksheet>
</file>

<file path=xl/worksheets/sheet16.xml><?xml version="1.0" encoding="utf-8"?>
<worksheet xmlns="http://schemas.openxmlformats.org/spreadsheetml/2006/main" xmlns:r="http://schemas.openxmlformats.org/officeDocument/2006/relationships">
  <sheetPr codeName="Sheet26">
    <pageSetUpPr fitToPage="1"/>
  </sheetPr>
  <dimension ref="A1:F58"/>
  <sheetViews>
    <sheetView zoomScaleNormal="100" workbookViewId="0">
      <selection activeCell="C19" sqref="C19"/>
    </sheetView>
  </sheetViews>
  <sheetFormatPr defaultRowHeight="12.75"/>
  <cols>
    <col min="1" max="1" width="26.42578125" style="203" customWidth="1"/>
    <col min="2" max="2" width="68.42578125" style="203" customWidth="1"/>
    <col min="3" max="3" width="27.42578125" style="203" bestFit="1" customWidth="1"/>
    <col min="4" max="4" width="24.7109375" style="203" customWidth="1"/>
    <col min="5" max="5" width="12.42578125" bestFit="1" customWidth="1"/>
    <col min="6" max="6" width="14.28515625" style="203" bestFit="1" customWidth="1"/>
  </cols>
  <sheetData>
    <row r="1" spans="1:6" ht="18">
      <c r="A1" s="204" t="s">
        <v>73</v>
      </c>
    </row>
    <row r="2" spans="1:6" ht="15.75">
      <c r="A2" s="205" t="s">
        <v>380</v>
      </c>
    </row>
    <row r="3" spans="1:6" ht="14.25">
      <c r="A3" s="848" t="s">
        <v>1065</v>
      </c>
    </row>
    <row r="4" spans="1:6" ht="13.5" thickBot="1">
      <c r="A4" s="206"/>
      <c r="B4" s="206"/>
      <c r="C4" s="206"/>
      <c r="D4" s="206"/>
      <c r="E4" s="207"/>
      <c r="F4" s="206"/>
    </row>
    <row r="5" spans="1:6" ht="27.75" customHeight="1" thickTop="1">
      <c r="A5" s="855" t="s">
        <v>349</v>
      </c>
      <c r="B5" s="855" t="s">
        <v>273</v>
      </c>
      <c r="C5" s="855" t="s">
        <v>274</v>
      </c>
      <c r="D5" s="855" t="s">
        <v>350</v>
      </c>
      <c r="E5" s="855" t="s">
        <v>351</v>
      </c>
      <c r="F5" s="855" t="s">
        <v>30</v>
      </c>
    </row>
    <row r="6" spans="1:6" ht="13.15" customHeight="1">
      <c r="A6" s="856"/>
      <c r="B6" s="856"/>
      <c r="C6" s="856"/>
      <c r="D6" s="856"/>
      <c r="E6" s="856"/>
      <c r="F6" s="856"/>
    </row>
    <row r="7" spans="1:6" ht="13.15" customHeight="1">
      <c r="A7" s="857" t="s">
        <v>275</v>
      </c>
      <c r="B7" s="857" t="s">
        <v>373</v>
      </c>
      <c r="C7" s="858" t="s">
        <v>276</v>
      </c>
      <c r="D7" s="857" t="s">
        <v>352</v>
      </c>
      <c r="E7" s="859">
        <v>3830</v>
      </c>
      <c r="F7" s="860">
        <v>6152077.7400000002</v>
      </c>
    </row>
    <row r="8" spans="1:6" ht="13.15" customHeight="1">
      <c r="A8" s="857" t="s">
        <v>277</v>
      </c>
      <c r="B8" s="857" t="s">
        <v>278</v>
      </c>
      <c r="C8" s="858" t="s">
        <v>279</v>
      </c>
      <c r="D8" s="857" t="s">
        <v>352</v>
      </c>
      <c r="E8" s="859">
        <v>127</v>
      </c>
      <c r="F8" s="859">
        <v>1329645</v>
      </c>
    </row>
    <row r="9" spans="1:6" ht="13.15" customHeight="1">
      <c r="A9" s="857" t="s">
        <v>280</v>
      </c>
      <c r="B9" s="857" t="s">
        <v>281</v>
      </c>
      <c r="C9" s="858" t="s">
        <v>282</v>
      </c>
      <c r="D9" s="857" t="s">
        <v>352</v>
      </c>
      <c r="E9" s="859">
        <v>175</v>
      </c>
      <c r="F9" s="859">
        <v>291178.76</v>
      </c>
    </row>
    <row r="10" spans="1:6" ht="13.15" customHeight="1">
      <c r="A10" s="857" t="s">
        <v>283</v>
      </c>
      <c r="B10" s="857" t="s">
        <v>284</v>
      </c>
      <c r="C10" s="858" t="s">
        <v>285</v>
      </c>
      <c r="D10" s="857" t="s">
        <v>352</v>
      </c>
      <c r="E10" s="859">
        <v>34</v>
      </c>
      <c r="F10" s="859">
        <v>199155.89</v>
      </c>
    </row>
    <row r="11" spans="1:6" ht="13.15" customHeight="1">
      <c r="A11" s="861" t="s">
        <v>286</v>
      </c>
      <c r="B11" s="861" t="s">
        <v>287</v>
      </c>
      <c r="C11" s="862" t="s">
        <v>288</v>
      </c>
      <c r="D11" s="861" t="s">
        <v>352</v>
      </c>
      <c r="E11" s="863">
        <v>109</v>
      </c>
      <c r="F11" s="864">
        <v>173168.5</v>
      </c>
    </row>
    <row r="12" spans="1:6" ht="13.15" customHeight="1">
      <c r="A12" s="857"/>
      <c r="B12" s="857"/>
      <c r="C12" s="858"/>
      <c r="D12" s="857"/>
      <c r="E12" s="859"/>
      <c r="F12" s="865"/>
    </row>
    <row r="13" spans="1:6" ht="25.5">
      <c r="A13" s="866" t="s">
        <v>289</v>
      </c>
      <c r="B13" s="857" t="s">
        <v>290</v>
      </c>
      <c r="C13" s="858" t="s">
        <v>291</v>
      </c>
      <c r="D13" s="857" t="s">
        <v>352</v>
      </c>
      <c r="E13" s="859">
        <v>20</v>
      </c>
      <c r="F13" s="859">
        <v>1003</v>
      </c>
    </row>
    <row r="14" spans="1:6" ht="13.15" customHeight="1">
      <c r="A14" s="857" t="s">
        <v>292</v>
      </c>
      <c r="B14" s="857" t="s">
        <v>293</v>
      </c>
      <c r="C14" s="858" t="s">
        <v>294</v>
      </c>
      <c r="D14" s="857" t="s">
        <v>352</v>
      </c>
      <c r="E14" s="859">
        <v>138</v>
      </c>
      <c r="F14" s="859">
        <v>4297689.5599999996</v>
      </c>
    </row>
    <row r="15" spans="1:6" ht="13.15" customHeight="1">
      <c r="A15" s="857" t="s">
        <v>295</v>
      </c>
      <c r="B15" s="857" t="s">
        <v>296</v>
      </c>
      <c r="C15" s="858" t="s">
        <v>297</v>
      </c>
      <c r="D15" s="857" t="s">
        <v>352</v>
      </c>
      <c r="E15" s="859">
        <v>31</v>
      </c>
      <c r="F15" s="859">
        <v>24972670</v>
      </c>
    </row>
    <row r="16" spans="1:6" ht="13.15" customHeight="1">
      <c r="A16" s="857" t="s">
        <v>298</v>
      </c>
      <c r="B16" s="857" t="s">
        <v>299</v>
      </c>
      <c r="C16" s="858" t="s">
        <v>297</v>
      </c>
      <c r="D16" s="857" t="s">
        <v>352</v>
      </c>
      <c r="E16" s="859">
        <v>96</v>
      </c>
      <c r="F16" s="859">
        <v>135538.35</v>
      </c>
    </row>
    <row r="17" spans="1:6" ht="13.15" customHeight="1">
      <c r="A17" s="861" t="s">
        <v>300</v>
      </c>
      <c r="B17" s="861" t="s">
        <v>301</v>
      </c>
      <c r="C17" s="862" t="s">
        <v>302</v>
      </c>
      <c r="D17" s="861" t="s">
        <v>352</v>
      </c>
      <c r="E17" s="863">
        <v>0</v>
      </c>
      <c r="F17" s="863">
        <v>0</v>
      </c>
    </row>
    <row r="18" spans="1:6" ht="13.15" customHeight="1">
      <c r="A18" s="857"/>
      <c r="B18" s="857"/>
      <c r="C18" s="858"/>
      <c r="D18" s="857"/>
      <c r="E18" s="867"/>
      <c r="F18" s="865"/>
    </row>
    <row r="19" spans="1:6" ht="13.15" customHeight="1">
      <c r="A19" s="857" t="s">
        <v>303</v>
      </c>
      <c r="B19" s="857" t="s">
        <v>374</v>
      </c>
      <c r="C19" s="858" t="s">
        <v>304</v>
      </c>
      <c r="D19" s="857" t="s">
        <v>352</v>
      </c>
      <c r="E19" s="859">
        <v>1154</v>
      </c>
      <c r="F19" s="859">
        <v>59216384.880000003</v>
      </c>
    </row>
    <row r="20" spans="1:6" ht="13.15" customHeight="1">
      <c r="A20" s="857" t="s">
        <v>305</v>
      </c>
      <c r="B20" s="857" t="s">
        <v>306</v>
      </c>
      <c r="C20" s="858" t="s">
        <v>304</v>
      </c>
      <c r="D20" s="857" t="s">
        <v>352</v>
      </c>
      <c r="E20" s="859">
        <v>0</v>
      </c>
      <c r="F20" s="859">
        <v>0</v>
      </c>
    </row>
    <row r="21" spans="1:6" ht="13.15" customHeight="1">
      <c r="A21" s="857" t="s">
        <v>307</v>
      </c>
      <c r="B21" s="857" t="s">
        <v>308</v>
      </c>
      <c r="C21" s="858" t="s">
        <v>309</v>
      </c>
      <c r="D21" s="857" t="s">
        <v>352</v>
      </c>
      <c r="E21" s="859">
        <v>640</v>
      </c>
      <c r="F21" s="859">
        <v>1248176.96</v>
      </c>
    </row>
    <row r="22" spans="1:6" ht="13.15" customHeight="1">
      <c r="A22" s="857" t="s">
        <v>310</v>
      </c>
      <c r="B22" s="857" t="s">
        <v>311</v>
      </c>
      <c r="C22" s="858" t="s">
        <v>312</v>
      </c>
      <c r="D22" s="857" t="s">
        <v>352</v>
      </c>
      <c r="E22" s="859">
        <v>10</v>
      </c>
      <c r="F22" s="859">
        <v>181859</v>
      </c>
    </row>
    <row r="23" spans="1:6" ht="13.15" customHeight="1">
      <c r="A23" s="861" t="s">
        <v>313</v>
      </c>
      <c r="B23" s="861" t="s">
        <v>314</v>
      </c>
      <c r="C23" s="862" t="s">
        <v>320</v>
      </c>
      <c r="D23" s="861" t="s">
        <v>352</v>
      </c>
      <c r="E23" s="863">
        <v>62</v>
      </c>
      <c r="F23" s="864">
        <v>656223.16</v>
      </c>
    </row>
    <row r="24" spans="1:6" ht="13.15" customHeight="1">
      <c r="A24" s="857"/>
      <c r="B24" s="857"/>
      <c r="C24" s="858"/>
      <c r="D24" s="857"/>
      <c r="E24" s="859"/>
      <c r="F24" s="865"/>
    </row>
    <row r="25" spans="1:6" ht="13.15" customHeight="1">
      <c r="A25" s="857" t="s">
        <v>315</v>
      </c>
      <c r="B25" s="857" t="s">
        <v>316</v>
      </c>
      <c r="C25" s="858" t="s">
        <v>317</v>
      </c>
      <c r="D25" s="857" t="s">
        <v>353</v>
      </c>
      <c r="E25" s="859">
        <v>561</v>
      </c>
      <c r="F25" s="859">
        <v>274890.71999999997</v>
      </c>
    </row>
    <row r="26" spans="1:6" ht="13.15" customHeight="1">
      <c r="A26" s="857" t="s">
        <v>318</v>
      </c>
      <c r="B26" s="857" t="s">
        <v>319</v>
      </c>
      <c r="C26" s="858" t="s">
        <v>320</v>
      </c>
      <c r="D26" s="857" t="s">
        <v>353</v>
      </c>
      <c r="E26" s="859">
        <v>190</v>
      </c>
      <c r="F26" s="859">
        <v>2062140.09</v>
      </c>
    </row>
    <row r="27" spans="1:6" ht="13.15" customHeight="1">
      <c r="A27" s="857" t="s">
        <v>321</v>
      </c>
      <c r="B27" s="857" t="s">
        <v>322</v>
      </c>
      <c r="C27" s="858" t="s">
        <v>320</v>
      </c>
      <c r="D27" s="857" t="s">
        <v>352</v>
      </c>
      <c r="E27" s="859">
        <v>65</v>
      </c>
      <c r="F27" s="859">
        <v>126862.2</v>
      </c>
    </row>
    <row r="28" spans="1:6" ht="26.45" customHeight="1">
      <c r="A28" s="866" t="s">
        <v>323</v>
      </c>
      <c r="B28" s="857" t="s">
        <v>324</v>
      </c>
      <c r="C28" s="858" t="s">
        <v>320</v>
      </c>
      <c r="D28" s="857" t="s">
        <v>352</v>
      </c>
      <c r="E28" s="859">
        <v>0</v>
      </c>
      <c r="F28" s="859">
        <v>0</v>
      </c>
    </row>
    <row r="29" spans="1:6" ht="13.15" customHeight="1">
      <c r="A29" s="861" t="s">
        <v>325</v>
      </c>
      <c r="B29" s="861" t="s">
        <v>326</v>
      </c>
      <c r="C29" s="862" t="s">
        <v>327</v>
      </c>
      <c r="D29" s="861" t="s">
        <v>352</v>
      </c>
      <c r="E29" s="864">
        <v>6741</v>
      </c>
      <c r="F29" s="864">
        <v>94987172.689999998</v>
      </c>
    </row>
    <row r="30" spans="1:6" ht="13.15" customHeight="1">
      <c r="A30" s="857"/>
      <c r="B30" s="857"/>
      <c r="C30" s="858"/>
      <c r="D30" s="857"/>
      <c r="E30" s="859"/>
      <c r="F30" s="865"/>
    </row>
    <row r="31" spans="1:6" ht="13.15" customHeight="1">
      <c r="A31" s="857" t="s">
        <v>328</v>
      </c>
      <c r="B31" s="857" t="s">
        <v>329</v>
      </c>
      <c r="C31" s="858" t="s">
        <v>327</v>
      </c>
      <c r="D31" s="857" t="s">
        <v>353</v>
      </c>
      <c r="E31" s="859">
        <v>16456</v>
      </c>
      <c r="F31" s="859">
        <v>575136.68999999994</v>
      </c>
    </row>
    <row r="32" spans="1:6" ht="13.15" customHeight="1">
      <c r="A32" s="857" t="s">
        <v>330</v>
      </c>
      <c r="B32" s="857" t="s">
        <v>331</v>
      </c>
      <c r="C32" s="858" t="s">
        <v>327</v>
      </c>
      <c r="D32" s="857" t="s">
        <v>353</v>
      </c>
      <c r="E32" s="859">
        <v>111</v>
      </c>
      <c r="F32" s="859">
        <v>267954</v>
      </c>
    </row>
    <row r="33" spans="1:6" ht="13.15" customHeight="1">
      <c r="A33" s="857" t="s">
        <v>332</v>
      </c>
      <c r="B33" s="857" t="s">
        <v>333</v>
      </c>
      <c r="C33" s="858" t="s">
        <v>334</v>
      </c>
      <c r="D33" s="857" t="s">
        <v>354</v>
      </c>
      <c r="E33" s="859">
        <v>0</v>
      </c>
      <c r="F33" s="859">
        <v>0</v>
      </c>
    </row>
    <row r="34" spans="1:6" ht="13.15" customHeight="1">
      <c r="A34" s="857" t="s">
        <v>335</v>
      </c>
      <c r="B34" s="857" t="s">
        <v>336</v>
      </c>
      <c r="C34" s="858" t="s">
        <v>337</v>
      </c>
      <c r="D34" s="857" t="s">
        <v>353</v>
      </c>
      <c r="E34" s="859">
        <v>333787</v>
      </c>
      <c r="F34" s="859">
        <v>115733373.18000001</v>
      </c>
    </row>
    <row r="35" spans="1:6" ht="13.15" customHeight="1">
      <c r="A35" s="861" t="s">
        <v>338</v>
      </c>
      <c r="B35" s="861" t="s">
        <v>339</v>
      </c>
      <c r="C35" s="862" t="s">
        <v>337</v>
      </c>
      <c r="D35" s="861" t="s">
        <v>352</v>
      </c>
      <c r="E35" s="863">
        <v>57</v>
      </c>
      <c r="F35" s="864">
        <v>113181</v>
      </c>
    </row>
    <row r="36" spans="1:6" ht="13.15" customHeight="1">
      <c r="A36" s="857"/>
      <c r="B36" s="857"/>
      <c r="C36" s="858"/>
      <c r="D36" s="857"/>
      <c r="E36" s="859"/>
      <c r="F36" s="865"/>
    </row>
    <row r="37" spans="1:6" ht="13.15" customHeight="1">
      <c r="A37" s="857" t="s">
        <v>340</v>
      </c>
      <c r="B37" s="857" t="s">
        <v>341</v>
      </c>
      <c r="C37" s="858" t="s">
        <v>337</v>
      </c>
      <c r="D37" s="857" t="s">
        <v>352</v>
      </c>
      <c r="E37" s="859" t="s">
        <v>1072</v>
      </c>
      <c r="F37" s="859" t="s">
        <v>1072</v>
      </c>
    </row>
    <row r="38" spans="1:6" ht="13.15" customHeight="1">
      <c r="A38" s="857" t="s">
        <v>342</v>
      </c>
      <c r="B38" s="857" t="s">
        <v>343</v>
      </c>
      <c r="C38" s="858" t="s">
        <v>344</v>
      </c>
      <c r="D38" s="857" t="s">
        <v>353</v>
      </c>
      <c r="E38" s="859">
        <v>9142</v>
      </c>
      <c r="F38" s="859">
        <v>1999251.37</v>
      </c>
    </row>
    <row r="39" spans="1:6" ht="13.15" customHeight="1">
      <c r="A39" s="857" t="s">
        <v>345</v>
      </c>
      <c r="B39" s="857" t="s">
        <v>346</v>
      </c>
      <c r="C39" s="858" t="s">
        <v>347</v>
      </c>
      <c r="D39" s="857" t="s">
        <v>352</v>
      </c>
      <c r="E39" s="859" t="s">
        <v>1072</v>
      </c>
      <c r="F39" s="859" t="s">
        <v>1072</v>
      </c>
    </row>
    <row r="40" spans="1:6" ht="13.15" customHeight="1">
      <c r="A40" s="857" t="s">
        <v>1048</v>
      </c>
      <c r="B40" s="857" t="s">
        <v>1049</v>
      </c>
      <c r="C40" s="858" t="s">
        <v>1050</v>
      </c>
      <c r="D40" s="857" t="s">
        <v>352</v>
      </c>
      <c r="E40" s="859">
        <v>0</v>
      </c>
      <c r="F40" s="859">
        <v>0</v>
      </c>
    </row>
    <row r="41" spans="1:6" ht="13.15" customHeight="1">
      <c r="A41" s="861" t="s">
        <v>1051</v>
      </c>
      <c r="B41" s="861" t="s">
        <v>1052</v>
      </c>
      <c r="C41" s="862" t="s">
        <v>1050</v>
      </c>
      <c r="D41" s="861" t="s">
        <v>352</v>
      </c>
      <c r="E41" s="868" t="s">
        <v>1072</v>
      </c>
      <c r="F41" s="869" t="s">
        <v>1072</v>
      </c>
    </row>
    <row r="42" spans="1:6">
      <c r="E42" s="870"/>
      <c r="F42" s="871"/>
    </row>
    <row r="43" spans="1:6">
      <c r="A43" s="857" t="s">
        <v>1073</v>
      </c>
      <c r="B43" s="857" t="s">
        <v>1074</v>
      </c>
      <c r="C43" s="858" t="s">
        <v>1075</v>
      </c>
      <c r="D43" s="857" t="s">
        <v>352</v>
      </c>
      <c r="E43" s="859">
        <v>0</v>
      </c>
      <c r="F43" s="859">
        <v>0</v>
      </c>
    </row>
    <row r="44" spans="1:6">
      <c r="A44" s="857" t="s">
        <v>1076</v>
      </c>
      <c r="B44" s="857" t="s">
        <v>1077</v>
      </c>
      <c r="C44" s="858" t="s">
        <v>1075</v>
      </c>
      <c r="D44" s="857" t="s">
        <v>352</v>
      </c>
      <c r="E44" s="859" t="s">
        <v>1072</v>
      </c>
      <c r="F44" s="859" t="s">
        <v>1072</v>
      </c>
    </row>
    <row r="45" spans="1:6">
      <c r="A45" s="857" t="s">
        <v>1078</v>
      </c>
      <c r="B45" s="857" t="s">
        <v>1079</v>
      </c>
      <c r="C45" s="858" t="s">
        <v>1075</v>
      </c>
      <c r="D45" s="857" t="s">
        <v>352</v>
      </c>
      <c r="E45" s="859">
        <v>0</v>
      </c>
      <c r="F45" s="859">
        <v>0</v>
      </c>
    </row>
    <row r="46" spans="1:6">
      <c r="A46" s="857" t="s">
        <v>1080</v>
      </c>
      <c r="B46" s="857" t="s">
        <v>1081</v>
      </c>
      <c r="C46" s="858" t="s">
        <v>1075</v>
      </c>
      <c r="D46" s="857" t="s">
        <v>352</v>
      </c>
      <c r="E46" s="859">
        <v>0</v>
      </c>
      <c r="F46" s="859">
        <v>0</v>
      </c>
    </row>
    <row r="47" spans="1:6">
      <c r="A47" s="857" t="s">
        <v>1082</v>
      </c>
      <c r="B47" s="857" t="s">
        <v>1083</v>
      </c>
      <c r="C47" s="858" t="s">
        <v>1075</v>
      </c>
      <c r="D47" s="857" t="s">
        <v>352</v>
      </c>
      <c r="E47" s="859">
        <v>0</v>
      </c>
      <c r="F47" s="859">
        <v>0</v>
      </c>
    </row>
    <row r="48" spans="1:6">
      <c r="A48" s="861" t="s">
        <v>1084</v>
      </c>
      <c r="B48" s="861" t="s">
        <v>1085</v>
      </c>
      <c r="C48" s="862" t="s">
        <v>1075</v>
      </c>
      <c r="D48" s="861" t="s">
        <v>352</v>
      </c>
      <c r="E48" s="863">
        <v>0</v>
      </c>
      <c r="F48" s="863">
        <v>0</v>
      </c>
    </row>
    <row r="50" spans="1:6">
      <c r="A50" s="203" t="s">
        <v>2</v>
      </c>
    </row>
    <row r="51" spans="1:6" ht="26.45" customHeight="1">
      <c r="A51" s="1058" t="s">
        <v>1086</v>
      </c>
      <c r="B51" s="1058"/>
      <c r="C51" s="1058"/>
      <c r="D51" s="1058"/>
      <c r="E51" s="1058"/>
      <c r="F51" s="1058"/>
    </row>
    <row r="52" spans="1:6">
      <c r="A52" s="872" t="s">
        <v>1044</v>
      </c>
    </row>
    <row r="53" spans="1:6">
      <c r="A53" s="872" t="s">
        <v>1045</v>
      </c>
    </row>
    <row r="54" spans="1:6">
      <c r="A54" s="872" t="s">
        <v>1046</v>
      </c>
    </row>
    <row r="55" spans="1:6">
      <c r="A55" s="872" t="s">
        <v>1047</v>
      </c>
    </row>
    <row r="57" spans="1:6">
      <c r="A57" s="1059" t="s">
        <v>1087</v>
      </c>
      <c r="B57" s="1059"/>
      <c r="C57" s="1059"/>
      <c r="D57" s="1059"/>
      <c r="E57" s="1059"/>
      <c r="F57" s="1059"/>
    </row>
    <row r="58" spans="1:6">
      <c r="A58" s="1056"/>
      <c r="B58" s="1057"/>
      <c r="C58" s="1057"/>
      <c r="D58" s="873"/>
    </row>
  </sheetData>
  <mergeCells count="3">
    <mergeCell ref="A58:C58"/>
    <mergeCell ref="A51:F51"/>
    <mergeCell ref="A57:F57"/>
  </mergeCells>
  <phoneticPr fontId="13" type="noConversion"/>
  <printOptions horizontalCentered="1" verticalCentered="1"/>
  <pageMargins left="0.6" right="0.64" top="0.75" bottom="0.75" header="0.5" footer="0.5"/>
  <pageSetup scale="62" orientation="landscape" r:id="rId1"/>
  <headerFooter alignWithMargins="0"/>
</worksheet>
</file>

<file path=xl/worksheets/sheet17.xml><?xml version="1.0" encoding="utf-8"?>
<worksheet xmlns="http://schemas.openxmlformats.org/spreadsheetml/2006/main" xmlns:r="http://schemas.openxmlformats.org/officeDocument/2006/relationships">
  <sheetPr transitionEvaluation="1" codeName="Sheet18">
    <pageSetUpPr fitToPage="1"/>
  </sheetPr>
  <dimension ref="A1:J50"/>
  <sheetViews>
    <sheetView defaultGridColor="0" colorId="22" zoomScaleNormal="100" workbookViewId="0">
      <selection activeCell="C19" sqref="C19"/>
    </sheetView>
  </sheetViews>
  <sheetFormatPr defaultColWidth="15.140625" defaultRowHeight="15"/>
  <cols>
    <col min="1" max="1" width="13.7109375" style="121" customWidth="1"/>
    <col min="2" max="2" width="18.5703125" style="121" bestFit="1" customWidth="1"/>
    <col min="3" max="3" width="18.140625" style="121" bestFit="1" customWidth="1"/>
    <col min="4" max="4" width="18.5703125" style="121" bestFit="1" customWidth="1"/>
    <col min="5" max="5" width="16.42578125" style="121" bestFit="1" customWidth="1"/>
    <col min="6" max="6" width="26.28515625" style="121" customWidth="1"/>
    <col min="7" max="7" width="18.85546875" style="121" bestFit="1" customWidth="1"/>
    <col min="8" max="16384" width="15.140625" style="121"/>
  </cols>
  <sheetData>
    <row r="1" spans="1:10" ht="18">
      <c r="A1" s="120" t="s">
        <v>244</v>
      </c>
    </row>
    <row r="2" spans="1:10" ht="15.75">
      <c r="A2" s="122" t="s">
        <v>74</v>
      </c>
    </row>
    <row r="3" spans="1:10" ht="15.75" thickBot="1">
      <c r="A3" s="123"/>
      <c r="B3" s="123"/>
      <c r="C3" s="123"/>
      <c r="D3" s="123"/>
      <c r="E3" s="123"/>
      <c r="F3" s="123"/>
      <c r="G3" s="123"/>
      <c r="H3" s="124"/>
      <c r="I3" s="124"/>
    </row>
    <row r="4" spans="1:10">
      <c r="A4" s="125"/>
      <c r="B4" s="1060" t="s">
        <v>75</v>
      </c>
      <c r="C4" s="1060"/>
      <c r="D4" s="125"/>
      <c r="E4" s="1060" t="s">
        <v>76</v>
      </c>
      <c r="F4" s="1060"/>
      <c r="G4" s="125"/>
      <c r="H4" s="124"/>
      <c r="I4" s="124"/>
    </row>
    <row r="5" spans="1:10" ht="13.9" customHeight="1">
      <c r="A5" s="126"/>
      <c r="B5" s="125"/>
      <c r="C5" s="127"/>
      <c r="D5" s="125"/>
      <c r="E5" s="128"/>
      <c r="F5" s="129" t="s">
        <v>77</v>
      </c>
      <c r="G5" s="128"/>
      <c r="H5" s="124"/>
      <c r="I5" s="124"/>
    </row>
    <row r="6" spans="1:10">
      <c r="A6" s="130"/>
      <c r="B6" s="131" t="s">
        <v>78</v>
      </c>
      <c r="C6" s="132" t="s">
        <v>79</v>
      </c>
      <c r="D6" s="133" t="s">
        <v>80</v>
      </c>
      <c r="E6" s="132" t="s">
        <v>76</v>
      </c>
      <c r="F6" s="132" t="s">
        <v>81</v>
      </c>
      <c r="G6" s="132" t="s">
        <v>25</v>
      </c>
      <c r="H6" s="124"/>
      <c r="I6" s="124"/>
    </row>
    <row r="7" spans="1:10" ht="15.75" thickBot="1">
      <c r="A7" s="134" t="s">
        <v>44</v>
      </c>
      <c r="B7" s="134" t="s">
        <v>82</v>
      </c>
      <c r="C7" s="135" t="s">
        <v>83</v>
      </c>
      <c r="D7" s="136" t="s">
        <v>84</v>
      </c>
      <c r="E7" s="135" t="s">
        <v>85</v>
      </c>
      <c r="F7" s="135" t="s">
        <v>86</v>
      </c>
      <c r="G7" s="135" t="s">
        <v>87</v>
      </c>
      <c r="H7" s="124"/>
      <c r="I7" s="124"/>
    </row>
    <row r="8" spans="1:10" ht="15.75">
      <c r="A8" s="137"/>
      <c r="B8" s="137"/>
      <c r="C8" s="138"/>
      <c r="D8" s="124"/>
      <c r="E8" s="138"/>
      <c r="F8" s="138"/>
      <c r="G8" s="138"/>
      <c r="H8" s="124"/>
      <c r="I8" s="124"/>
    </row>
    <row r="9" spans="1:10">
      <c r="A9" s="139">
        <v>2003</v>
      </c>
      <c r="B9" s="201">
        <v>2173307000</v>
      </c>
      <c r="C9" s="201">
        <v>291633000</v>
      </c>
      <c r="D9" s="201">
        <f t="shared" ref="D9:D18" si="0">SUM(B9:C9)</f>
        <v>2464940000</v>
      </c>
      <c r="E9" s="201">
        <f>ROUND(797367970.56,-3)</f>
        <v>797368000</v>
      </c>
      <c r="F9" s="200" t="s">
        <v>88</v>
      </c>
      <c r="G9" s="201">
        <f t="shared" ref="G9:G16" si="1">SUM(D9:F9)</f>
        <v>3262308000</v>
      </c>
      <c r="H9" s="144"/>
      <c r="I9" s="142">
        <f>G9/1000000000</f>
        <v>3.262308</v>
      </c>
      <c r="J9" s="143"/>
    </row>
    <row r="10" spans="1:10">
      <c r="A10" s="139">
        <v>2004</v>
      </c>
      <c r="B10" s="140">
        <f>ROUND(4024418.92+259494471.1+16182234.62+2114786409.88,-3)</f>
        <v>2394488000</v>
      </c>
      <c r="C10" s="140">
        <f>ROUND(327092265.31,-3)</f>
        <v>327092000</v>
      </c>
      <c r="D10" s="140">
        <f t="shared" si="0"/>
        <v>2721580000</v>
      </c>
      <c r="E10" s="140">
        <v>865678000</v>
      </c>
      <c r="F10" s="141" t="s">
        <v>88</v>
      </c>
      <c r="G10" s="140">
        <f t="shared" si="1"/>
        <v>3587258000</v>
      </c>
      <c r="H10" s="144"/>
      <c r="I10" s="142">
        <f t="shared" ref="I10:I18" si="2">G10/1000000000</f>
        <v>3.5872579999999998</v>
      </c>
      <c r="J10" s="143"/>
    </row>
    <row r="11" spans="1:10">
      <c r="A11" s="139">
        <v>2005</v>
      </c>
      <c r="B11" s="140">
        <v>2946217000</v>
      </c>
      <c r="C11" s="140">
        <v>449867000</v>
      </c>
      <c r="D11" s="140">
        <f t="shared" si="0"/>
        <v>3396084000</v>
      </c>
      <c r="E11" s="140">
        <v>936362000</v>
      </c>
      <c r="F11" s="140">
        <v>147628000</v>
      </c>
      <c r="G11" s="140">
        <f t="shared" si="1"/>
        <v>4480074000</v>
      </c>
      <c r="H11" s="144"/>
      <c r="I11" s="142">
        <f t="shared" si="2"/>
        <v>4.4800740000000001</v>
      </c>
      <c r="J11" s="143"/>
    </row>
    <row r="12" spans="1:10">
      <c r="A12" s="139">
        <v>2006</v>
      </c>
      <c r="B12" s="140">
        <f>ROUND(4626141.12+120060496.58+20733931.84+2450128004.11+0+128470.36+217200091.62,-3)</f>
        <v>2812877000</v>
      </c>
      <c r="C12" s="140">
        <f>ROUND(476258753.32,-3)</f>
        <v>476259000</v>
      </c>
      <c r="D12" s="140">
        <f t="shared" si="0"/>
        <v>3289136000</v>
      </c>
      <c r="E12" s="140">
        <f>ROUND(998742301.4,-3)</f>
        <v>998742000</v>
      </c>
      <c r="F12" s="140">
        <v>217200000</v>
      </c>
      <c r="G12" s="140">
        <f t="shared" si="1"/>
        <v>4505078000</v>
      </c>
      <c r="H12" s="144"/>
      <c r="I12" s="142">
        <f t="shared" si="2"/>
        <v>4.5050780000000001</v>
      </c>
      <c r="J12" s="143"/>
    </row>
    <row r="13" spans="1:10">
      <c r="A13" s="139">
        <v>2007</v>
      </c>
      <c r="B13" s="140">
        <v>3049290000</v>
      </c>
      <c r="C13" s="140">
        <v>517277000</v>
      </c>
      <c r="D13" s="140">
        <f t="shared" si="0"/>
        <v>3566567000</v>
      </c>
      <c r="E13" s="140">
        <v>1054991000</v>
      </c>
      <c r="F13" s="140">
        <v>225154000</v>
      </c>
      <c r="G13" s="140">
        <f t="shared" si="1"/>
        <v>4846712000</v>
      </c>
      <c r="H13" s="144"/>
      <c r="I13" s="142">
        <f t="shared" si="2"/>
        <v>4.8467120000000001</v>
      </c>
      <c r="J13" s="143"/>
    </row>
    <row r="14" spans="1:10">
      <c r="A14" s="139">
        <v>2008</v>
      </c>
      <c r="B14" s="140">
        <f>ROUND(3893158.34+139756397.6+25049498.52+2680175086.74+234650.9+226653512.17,-3)</f>
        <v>3075762000</v>
      </c>
      <c r="C14" s="140">
        <f>ROUND(524900714.58,-3)</f>
        <v>524901000</v>
      </c>
      <c r="D14" s="140">
        <f t="shared" si="0"/>
        <v>3600663000</v>
      </c>
      <c r="E14" s="140">
        <f>ROUND(1052364417.91,-3)</f>
        <v>1052364000</v>
      </c>
      <c r="F14" s="140">
        <f>ROUND(226653512.17,-3)</f>
        <v>226654000</v>
      </c>
      <c r="G14" s="140">
        <f t="shared" si="1"/>
        <v>4879681000</v>
      </c>
      <c r="H14" s="144"/>
      <c r="I14" s="142">
        <f t="shared" si="2"/>
        <v>4.8796809999999997</v>
      </c>
      <c r="J14" s="143"/>
    </row>
    <row r="15" spans="1:10">
      <c r="A15" s="139">
        <v>2009</v>
      </c>
      <c r="B15" s="140">
        <f>ROUND(3706899.22+140646726.83+26128226.38+2519573428.88+699538.82+213387662.68,-3)</f>
        <v>2904142000</v>
      </c>
      <c r="C15" s="140">
        <f>ROUND(499366180.2,-3)</f>
        <v>499366000</v>
      </c>
      <c r="D15" s="140">
        <f t="shared" si="0"/>
        <v>3403508000</v>
      </c>
      <c r="E15" s="140">
        <f>ROUND(1010937125.4,-3)</f>
        <v>1010937000</v>
      </c>
      <c r="F15" s="140">
        <f>ROUND(213387662.69,-3)</f>
        <v>213388000</v>
      </c>
      <c r="G15" s="140">
        <f t="shared" si="1"/>
        <v>4627833000</v>
      </c>
      <c r="H15" s="144"/>
      <c r="I15" s="142">
        <f t="shared" si="2"/>
        <v>4.6278329999999999</v>
      </c>
      <c r="J15" s="143"/>
    </row>
    <row r="16" spans="1:10">
      <c r="A16" s="139">
        <v>2010</v>
      </c>
      <c r="B16" s="140">
        <f>ROUND(3232298.43+139229555.02+26803910.08+2479995840.58+209425559.76+223844806.1,-3)</f>
        <v>3082532000</v>
      </c>
      <c r="C16" s="140">
        <f>ROUND(490714217.79,-3)</f>
        <v>490714000</v>
      </c>
      <c r="D16" s="140">
        <f t="shared" si="0"/>
        <v>3573246000</v>
      </c>
      <c r="E16" s="140">
        <f>ROUND(979588558.33,-3)</f>
        <v>979589000</v>
      </c>
      <c r="F16" s="140">
        <f>ROUND(209425559.76,-3)</f>
        <v>209426000</v>
      </c>
      <c r="G16" s="140">
        <f t="shared" si="1"/>
        <v>4762261000</v>
      </c>
      <c r="H16" s="144"/>
      <c r="I16" s="142">
        <f t="shared" si="2"/>
        <v>4.7622609999999996</v>
      </c>
      <c r="J16" s="144"/>
    </row>
    <row r="17" spans="1:10">
      <c r="A17" s="139">
        <v>2011</v>
      </c>
      <c r="B17" s="964">
        <f>ROUND(3135812.93+138263646.01+25831587.41+2449026887.8+204026887.95+192094005.02,-3)</f>
        <v>3012379000</v>
      </c>
      <c r="C17" s="964">
        <f>ROUND(477328537.76,-3)</f>
        <v>477329000</v>
      </c>
      <c r="D17" s="140">
        <f t="shared" si="0"/>
        <v>3489708000</v>
      </c>
      <c r="E17" s="140">
        <f>ROUND(1010204536.08,-3)</f>
        <v>1010205000</v>
      </c>
      <c r="F17" s="964">
        <f>ROUND(204026887.95,-3)</f>
        <v>204027000</v>
      </c>
      <c r="G17" s="140">
        <f>SUM(D17:F17)</f>
        <v>4703940000</v>
      </c>
      <c r="H17" s="144"/>
      <c r="I17" s="142">
        <f t="shared" si="2"/>
        <v>4.7039400000000002</v>
      </c>
      <c r="J17" s="144"/>
    </row>
    <row r="18" spans="1:10">
      <c r="A18" s="139">
        <v>2012</v>
      </c>
      <c r="B18" s="964">
        <f>ROUND(3189667.93+147668168.09+27409550.55+2575705639.9+214098023.29+153431896.46,-3)</f>
        <v>3121503000</v>
      </c>
      <c r="C18" s="964">
        <f>ROUND(503069571.36,-3)</f>
        <v>503070000</v>
      </c>
      <c r="D18" s="140">
        <f t="shared" si="0"/>
        <v>3624573000</v>
      </c>
      <c r="E18" s="140">
        <f>ROUND(1052521923.15,-3)</f>
        <v>1052522000</v>
      </c>
      <c r="F18" s="964">
        <f>ROUND(214098023.29,-3)</f>
        <v>214098000</v>
      </c>
      <c r="G18" s="140">
        <f>SUM(D18:F18)</f>
        <v>4891193000</v>
      </c>
      <c r="H18" s="144"/>
      <c r="I18" s="142">
        <f t="shared" si="2"/>
        <v>4.8911930000000003</v>
      </c>
      <c r="J18" s="144"/>
    </row>
    <row r="19" spans="1:10">
      <c r="A19" s="145"/>
      <c r="B19" s="146"/>
      <c r="C19" s="146"/>
      <c r="D19" s="146"/>
      <c r="E19" s="146"/>
      <c r="F19" s="146"/>
      <c r="G19" s="146"/>
      <c r="H19" s="124"/>
      <c r="I19" s="147"/>
      <c r="J19" s="64"/>
    </row>
    <row r="20" spans="1:10" ht="14.25" customHeight="1">
      <c r="A20" s="148" t="s">
        <v>2</v>
      </c>
      <c r="B20" s="149"/>
      <c r="C20" s="149"/>
      <c r="D20" s="149"/>
      <c r="E20" s="149"/>
      <c r="F20" s="149"/>
      <c r="G20" s="146"/>
      <c r="H20" s="124"/>
      <c r="I20" s="124"/>
      <c r="J20" s="64"/>
    </row>
    <row r="21" spans="1:10" ht="12" customHeight="1">
      <c r="A21" s="150" t="s">
        <v>1108</v>
      </c>
      <c r="B21" s="150"/>
      <c r="C21" s="150"/>
      <c r="D21" s="150"/>
      <c r="E21" s="150"/>
      <c r="F21" s="150"/>
      <c r="G21" s="124"/>
      <c r="H21" s="124"/>
      <c r="I21" s="124"/>
      <c r="J21" s="64"/>
    </row>
    <row r="22" spans="1:10" ht="12" customHeight="1">
      <c r="A22" s="150" t="s">
        <v>90</v>
      </c>
      <c r="B22" s="150"/>
      <c r="C22" s="150"/>
      <c r="D22" s="150"/>
      <c r="E22" s="150"/>
      <c r="F22" s="150"/>
      <c r="G22" s="124"/>
      <c r="H22" s="124"/>
      <c r="I22" s="124"/>
      <c r="J22" s="64"/>
    </row>
    <row r="23" spans="1:10" ht="12" customHeight="1">
      <c r="A23" s="150" t="s">
        <v>91</v>
      </c>
      <c r="B23" s="150"/>
      <c r="C23" s="150"/>
      <c r="D23" s="150"/>
      <c r="E23" s="150"/>
      <c r="F23" s="150"/>
      <c r="G23" s="124"/>
      <c r="H23" s="124"/>
      <c r="I23" s="124"/>
    </row>
    <row r="24" spans="1:10" ht="12" customHeight="1">
      <c r="A24" s="150" t="s">
        <v>92</v>
      </c>
      <c r="B24" s="150"/>
      <c r="C24" s="150"/>
      <c r="D24" s="150"/>
      <c r="E24" s="150"/>
      <c r="F24" s="150"/>
      <c r="G24" s="124"/>
      <c r="H24" s="124"/>
      <c r="I24" s="124"/>
    </row>
    <row r="25" spans="1:10" ht="12" customHeight="1">
      <c r="A25" s="150" t="s">
        <v>93</v>
      </c>
      <c r="B25" s="150"/>
      <c r="C25" s="150"/>
      <c r="D25" s="150"/>
      <c r="E25" s="150"/>
      <c r="F25" s="150"/>
      <c r="G25" s="124"/>
      <c r="H25" s="124"/>
      <c r="I25" s="124"/>
    </row>
    <row r="26" spans="1:10" ht="12" customHeight="1">
      <c r="A26" s="150" t="s">
        <v>94</v>
      </c>
      <c r="B26" s="150"/>
      <c r="C26" s="150"/>
      <c r="D26" s="150"/>
      <c r="E26" s="150"/>
      <c r="F26" s="150"/>
      <c r="G26" s="124"/>
      <c r="H26" s="124"/>
      <c r="I26" s="124"/>
    </row>
    <row r="27" spans="1:10" ht="12" customHeight="1">
      <c r="A27" s="150" t="s">
        <v>95</v>
      </c>
      <c r="B27" s="150"/>
      <c r="C27" s="150"/>
      <c r="D27" s="150"/>
      <c r="E27" s="150"/>
      <c r="F27" s="150"/>
      <c r="G27" s="124"/>
      <c r="H27" s="124"/>
      <c r="I27" s="124"/>
    </row>
    <row r="28" spans="1:10" ht="12" customHeight="1">
      <c r="A28" s="150" t="s">
        <v>96</v>
      </c>
      <c r="B28" s="150"/>
      <c r="C28" s="150"/>
      <c r="D28" s="150"/>
      <c r="E28" s="150"/>
      <c r="F28" s="150"/>
      <c r="G28" s="124"/>
      <c r="H28" s="124"/>
      <c r="I28" s="124"/>
    </row>
    <row r="29" spans="1:10" ht="36" customHeight="1">
      <c r="A29" s="1061" t="s">
        <v>1088</v>
      </c>
      <c r="B29" s="1061"/>
      <c r="C29" s="1061"/>
      <c r="D29" s="1061"/>
      <c r="E29" s="1061"/>
      <c r="F29" s="1061"/>
      <c r="G29" s="1061"/>
      <c r="H29" s="124"/>
      <c r="I29" s="124"/>
    </row>
    <row r="30" spans="1:10" ht="12" customHeight="1">
      <c r="A30" s="151"/>
      <c r="B30" s="150"/>
      <c r="C30" s="150"/>
      <c r="D30" s="150"/>
      <c r="E30" s="150"/>
      <c r="F30" s="150"/>
      <c r="G30" s="124"/>
      <c r="H30" s="124"/>
      <c r="I30" s="124"/>
    </row>
    <row r="31" spans="1:10">
      <c r="A31" s="152"/>
      <c r="B31" s="124"/>
      <c r="C31" s="124"/>
      <c r="D31" s="124"/>
      <c r="E31" s="124"/>
      <c r="F31" s="124"/>
      <c r="G31" s="124"/>
      <c r="H31" s="124"/>
      <c r="I31" s="124"/>
    </row>
    <row r="50" spans="1:7" ht="15.75">
      <c r="A50" s="153"/>
      <c r="B50" s="153"/>
      <c r="C50" s="153"/>
      <c r="D50" s="153"/>
      <c r="E50" s="153"/>
      <c r="F50" s="153"/>
      <c r="G50" s="153"/>
    </row>
  </sheetData>
  <mergeCells count="3">
    <mergeCell ref="B4:C4"/>
    <mergeCell ref="E4:F4"/>
    <mergeCell ref="A29:G29"/>
  </mergeCells>
  <phoneticPr fontId="3" type="noConversion"/>
  <printOptions horizontalCentered="1"/>
  <pageMargins left="0.5" right="0.5" top="1" bottom="1" header="0.5" footer="0.5"/>
  <pageSetup scale="69" orientation="landscape" r:id="rId1"/>
  <headerFooter alignWithMargins="0"/>
  <rowBreaks count="1" manualBreakCount="1">
    <brk id="51" max="16383" man="1"/>
  </rowBreaks>
  <ignoredErrors>
    <ignoredError sqref="D9:D16" formulaRange="1"/>
  </ignoredErrors>
  <drawing r:id="rId2"/>
</worksheet>
</file>

<file path=xl/worksheets/sheet18.xml><?xml version="1.0" encoding="utf-8"?>
<worksheet xmlns="http://schemas.openxmlformats.org/spreadsheetml/2006/main" xmlns:r="http://schemas.openxmlformats.org/officeDocument/2006/relationships">
  <sheetPr codeName="Sheet15"/>
  <dimension ref="A1:G39"/>
  <sheetViews>
    <sheetView zoomScaleNormal="100" workbookViewId="0">
      <selection activeCell="C19" sqref="C19"/>
    </sheetView>
  </sheetViews>
  <sheetFormatPr defaultColWidth="9.28515625" defaultRowHeight="12.75"/>
  <cols>
    <col min="1" max="1" width="62.28515625" style="543" customWidth="1"/>
    <col min="2" max="6" width="16.7109375" style="543" customWidth="1"/>
    <col min="7" max="7" width="14.7109375" style="543" bestFit="1" customWidth="1"/>
    <col min="8" max="16384" width="9.28515625" style="543"/>
  </cols>
  <sheetData>
    <row r="1" spans="1:7" ht="15.75">
      <c r="A1" s="542" t="s">
        <v>900</v>
      </c>
    </row>
    <row r="2" spans="1:7" ht="15.75">
      <c r="A2" s="542" t="s">
        <v>901</v>
      </c>
    </row>
    <row r="3" spans="1:7" ht="13.5" thickBot="1"/>
    <row r="4" spans="1:7">
      <c r="A4" s="544" t="s">
        <v>902</v>
      </c>
      <c r="B4" s="545">
        <v>2007</v>
      </c>
      <c r="C4" s="545">
        <v>2008</v>
      </c>
      <c r="D4" s="545">
        <v>2009</v>
      </c>
      <c r="E4" s="545">
        <v>2010</v>
      </c>
      <c r="F4" s="545">
        <v>2011</v>
      </c>
    </row>
    <row r="5" spans="1:7" ht="12" customHeight="1">
      <c r="A5" s="546"/>
      <c r="B5" s="547"/>
      <c r="C5" s="547"/>
      <c r="D5" s="547"/>
      <c r="E5" s="547"/>
    </row>
    <row r="6" spans="1:7">
      <c r="A6" s="548" t="s">
        <v>903</v>
      </c>
      <c r="B6" s="549">
        <v>162149828</v>
      </c>
      <c r="C6" s="549">
        <v>158308072</v>
      </c>
      <c r="D6" s="549">
        <v>141138473</v>
      </c>
      <c r="E6" s="549">
        <v>152710584</v>
      </c>
      <c r="F6" s="549">
        <v>172111919</v>
      </c>
      <c r="G6" s="966"/>
    </row>
    <row r="7" spans="1:7">
      <c r="A7" s="548" t="s">
        <v>904</v>
      </c>
      <c r="B7" s="550">
        <v>703278026</v>
      </c>
      <c r="C7" s="550">
        <v>749150320</v>
      </c>
      <c r="D7" s="550">
        <v>784148763</v>
      </c>
      <c r="E7" s="550">
        <v>590796767</v>
      </c>
      <c r="F7" s="550">
        <v>695628771</v>
      </c>
      <c r="G7" s="966"/>
    </row>
    <row r="8" spans="1:7">
      <c r="A8" s="548" t="s">
        <v>905</v>
      </c>
      <c r="B8" s="550">
        <v>1361502614</v>
      </c>
      <c r="C8" s="550">
        <v>1362281520</v>
      </c>
      <c r="D8" s="550">
        <v>1155110103</v>
      </c>
      <c r="E8" s="550">
        <v>1257328395</v>
      </c>
      <c r="F8" s="550">
        <v>1325037229</v>
      </c>
      <c r="G8" s="966"/>
    </row>
    <row r="9" spans="1:7">
      <c r="A9" s="548" t="s">
        <v>906</v>
      </c>
      <c r="B9" s="550">
        <v>4050355326</v>
      </c>
      <c r="C9" s="550">
        <v>4023618878</v>
      </c>
      <c r="D9" s="550">
        <v>3398685204</v>
      </c>
      <c r="E9" s="550">
        <v>3494250154</v>
      </c>
      <c r="F9" s="550">
        <v>3565894962</v>
      </c>
      <c r="G9" s="966"/>
    </row>
    <row r="10" spans="1:7">
      <c r="A10" s="548" t="s">
        <v>907</v>
      </c>
      <c r="B10" s="550">
        <v>6227208376</v>
      </c>
      <c r="C10" s="550">
        <v>6223952103</v>
      </c>
      <c r="D10" s="550">
        <v>5240952452</v>
      </c>
      <c r="E10" s="550">
        <v>5151551029</v>
      </c>
      <c r="F10" s="550">
        <v>5417106102</v>
      </c>
      <c r="G10" s="966"/>
    </row>
    <row r="11" spans="1:7">
      <c r="A11" s="548" t="s">
        <v>908</v>
      </c>
      <c r="B11" s="550">
        <v>56256338538.5</v>
      </c>
      <c r="C11" s="550">
        <v>54590519189.619995</v>
      </c>
      <c r="D11" s="550">
        <v>53709169091.540001</v>
      </c>
      <c r="E11" s="550">
        <v>54546159126.510002</v>
      </c>
      <c r="F11" s="550">
        <v>55989608262.790001</v>
      </c>
      <c r="G11" s="966"/>
    </row>
    <row r="12" spans="1:7">
      <c r="A12" s="551" t="s">
        <v>909</v>
      </c>
      <c r="B12" s="550">
        <v>2594468298</v>
      </c>
      <c r="C12" s="550">
        <v>2283552492</v>
      </c>
      <c r="D12" s="550">
        <v>1956850875</v>
      </c>
      <c r="E12" s="550">
        <v>1942044045</v>
      </c>
      <c r="F12" s="550">
        <v>2011966538</v>
      </c>
      <c r="G12" s="966"/>
    </row>
    <row r="13" spans="1:7">
      <c r="A13" s="551" t="s">
        <v>910</v>
      </c>
      <c r="B13" s="550">
        <v>6806100611</v>
      </c>
      <c r="C13" s="550">
        <v>5561573470</v>
      </c>
      <c r="D13" s="550">
        <v>4954892342</v>
      </c>
      <c r="E13" s="550">
        <v>5104290677</v>
      </c>
      <c r="F13" s="550">
        <v>5137319891</v>
      </c>
      <c r="G13" s="966"/>
    </row>
    <row r="14" spans="1:7">
      <c r="A14" s="551" t="s">
        <v>911</v>
      </c>
      <c r="B14" s="550">
        <v>12874259600.5</v>
      </c>
      <c r="C14" s="550">
        <v>13173745743</v>
      </c>
      <c r="D14" s="550">
        <v>13560474629</v>
      </c>
      <c r="E14" s="550">
        <v>14282679158.51</v>
      </c>
      <c r="F14" s="550">
        <v>14202826894</v>
      </c>
      <c r="G14" s="966"/>
    </row>
    <row r="15" spans="1:7">
      <c r="A15" s="551" t="s">
        <v>912</v>
      </c>
      <c r="B15" s="550">
        <v>5164381679</v>
      </c>
      <c r="C15" s="550">
        <v>4976980124</v>
      </c>
      <c r="D15" s="550">
        <v>4454762594</v>
      </c>
      <c r="E15" s="550">
        <v>4560837540</v>
      </c>
      <c r="F15" s="550">
        <v>4706550735</v>
      </c>
      <c r="G15" s="966"/>
    </row>
    <row r="16" spans="1:7">
      <c r="A16" s="551" t="s">
        <v>913</v>
      </c>
      <c r="B16" s="550">
        <v>14776065451</v>
      </c>
      <c r="C16" s="550">
        <v>15113347561</v>
      </c>
      <c r="D16" s="550">
        <v>15498089391</v>
      </c>
      <c r="E16" s="550">
        <v>15597896639</v>
      </c>
      <c r="F16" s="550">
        <v>16074943507</v>
      </c>
      <c r="G16" s="966"/>
    </row>
    <row r="17" spans="1:7">
      <c r="A17" s="548" t="s">
        <v>914</v>
      </c>
      <c r="B17" s="550">
        <v>166788785</v>
      </c>
      <c r="C17" s="550">
        <v>161936421</v>
      </c>
      <c r="D17" s="550">
        <v>199811282</v>
      </c>
      <c r="E17" s="550">
        <v>161832357</v>
      </c>
      <c r="F17" s="550">
        <v>183550781</v>
      </c>
      <c r="G17" s="966"/>
    </row>
    <row r="18" spans="1:7">
      <c r="A18" s="548" t="s">
        <v>915</v>
      </c>
      <c r="B18" s="550">
        <v>219478520</v>
      </c>
      <c r="C18" s="550">
        <v>223836871</v>
      </c>
      <c r="D18" s="552">
        <v>315521919</v>
      </c>
      <c r="E18" s="552">
        <v>260614169</v>
      </c>
      <c r="F18" s="552">
        <v>490366929</v>
      </c>
      <c r="G18" s="993"/>
    </row>
    <row r="19" spans="1:7">
      <c r="A19" s="548" t="s">
        <v>916</v>
      </c>
      <c r="B19" s="550">
        <v>47951796</v>
      </c>
      <c r="C19" s="550">
        <v>54090453</v>
      </c>
      <c r="D19" s="552">
        <v>200478126</v>
      </c>
      <c r="E19" s="552">
        <v>120628052</v>
      </c>
      <c r="F19" s="552">
        <v>34071800</v>
      </c>
      <c r="G19" s="993"/>
    </row>
    <row r="20" spans="1:7">
      <c r="A20" s="548" t="s">
        <v>917</v>
      </c>
      <c r="B20" s="550">
        <v>1910760683</v>
      </c>
      <c r="C20" s="550">
        <v>1982377496</v>
      </c>
      <c r="D20" s="550">
        <v>1751405123</v>
      </c>
      <c r="E20" s="550">
        <v>1653633925</v>
      </c>
      <c r="F20" s="550">
        <v>1440764813</v>
      </c>
      <c r="G20" s="966"/>
    </row>
    <row r="21" spans="1:7">
      <c r="A21" s="548" t="s">
        <v>918</v>
      </c>
      <c r="B21" s="550">
        <v>1112850377</v>
      </c>
      <c r="C21" s="550">
        <v>1263640119</v>
      </c>
      <c r="D21" s="550">
        <v>1256084227</v>
      </c>
      <c r="E21" s="550">
        <v>999721873</v>
      </c>
      <c r="F21" s="550">
        <v>1022403713</v>
      </c>
      <c r="G21" s="966"/>
    </row>
    <row r="22" spans="1:7">
      <c r="A22" s="548" t="s">
        <v>919</v>
      </c>
      <c r="B22" s="550">
        <v>189938190</v>
      </c>
      <c r="C22" s="550">
        <v>147541928</v>
      </c>
      <c r="D22" s="550">
        <v>143955885</v>
      </c>
      <c r="E22" s="550">
        <v>189843120</v>
      </c>
      <c r="F22" s="550">
        <v>214792438</v>
      </c>
      <c r="G22" s="966"/>
    </row>
    <row r="23" spans="1:7">
      <c r="A23" s="548" t="s">
        <v>920</v>
      </c>
      <c r="B23" s="550">
        <v>398343875</v>
      </c>
      <c r="C23" s="550">
        <v>235420108</v>
      </c>
      <c r="D23" s="552">
        <v>196457763</v>
      </c>
      <c r="E23" s="552">
        <v>233140214</v>
      </c>
      <c r="F23" s="550">
        <v>254884724</v>
      </c>
      <c r="G23" s="966"/>
    </row>
    <row r="24" spans="1:7">
      <c r="A24" s="548" t="s">
        <v>921</v>
      </c>
      <c r="B24" s="550">
        <v>60624593</v>
      </c>
      <c r="C24" s="550">
        <v>52313475</v>
      </c>
      <c r="D24" s="552">
        <v>74626869</v>
      </c>
      <c r="E24" s="552">
        <v>94141526</v>
      </c>
      <c r="F24" s="550">
        <v>106910870</v>
      </c>
      <c r="G24" s="966"/>
    </row>
    <row r="25" spans="1:7">
      <c r="A25" s="548" t="s">
        <v>922</v>
      </c>
      <c r="B25" s="550">
        <v>220623538</v>
      </c>
      <c r="C25" s="550">
        <v>234275721</v>
      </c>
      <c r="D25" s="550">
        <v>251604165</v>
      </c>
      <c r="E25" s="550">
        <v>263008303</v>
      </c>
      <c r="F25" s="550">
        <v>296974191</v>
      </c>
      <c r="G25" s="966"/>
    </row>
    <row r="26" spans="1:7">
      <c r="A26" s="548" t="s">
        <v>923</v>
      </c>
      <c r="B26" s="550">
        <v>524481653</v>
      </c>
      <c r="C26" s="550">
        <v>493898273</v>
      </c>
      <c r="D26" s="550">
        <v>471941842</v>
      </c>
      <c r="E26" s="550">
        <v>501183155</v>
      </c>
      <c r="F26" s="550">
        <v>528333798</v>
      </c>
      <c r="G26" s="966"/>
    </row>
    <row r="27" spans="1:7">
      <c r="A27" s="548" t="s">
        <v>924</v>
      </c>
      <c r="B27" s="550">
        <v>12902981471</v>
      </c>
      <c r="C27" s="550">
        <v>13302972217</v>
      </c>
      <c r="D27" s="550">
        <v>13082478839</v>
      </c>
      <c r="E27" s="550">
        <v>13397396104</v>
      </c>
      <c r="F27" s="550">
        <v>14106220642</v>
      </c>
      <c r="G27" s="966"/>
    </row>
    <row r="28" spans="1:7">
      <c r="A28" s="551" t="s">
        <v>925</v>
      </c>
      <c r="B28" s="550">
        <v>9823782202</v>
      </c>
      <c r="C28" s="550">
        <v>10236676321</v>
      </c>
      <c r="D28" s="550">
        <v>10278271833</v>
      </c>
      <c r="E28" s="550">
        <v>10560552779</v>
      </c>
      <c r="F28" s="550">
        <v>11118465142</v>
      </c>
      <c r="G28" s="966"/>
    </row>
    <row r="29" spans="1:7">
      <c r="A29" s="548" t="s">
        <v>926</v>
      </c>
      <c r="B29" s="550">
        <v>1707057051</v>
      </c>
      <c r="C29" s="550">
        <v>1713469064</v>
      </c>
      <c r="D29" s="550">
        <v>1677631686</v>
      </c>
      <c r="E29" s="550">
        <v>1829128884</v>
      </c>
      <c r="F29" s="550">
        <v>1894033419</v>
      </c>
      <c r="G29" s="966"/>
    </row>
    <row r="30" spans="1:7">
      <c r="A30" s="548" t="s">
        <v>927</v>
      </c>
      <c r="B30" s="550">
        <v>22522443</v>
      </c>
      <c r="C30" s="550">
        <v>23375593</v>
      </c>
      <c r="D30" s="550">
        <v>24248562</v>
      </c>
      <c r="E30" s="550">
        <v>21874565</v>
      </c>
      <c r="F30" s="550">
        <v>21017775</v>
      </c>
      <c r="G30" s="966"/>
    </row>
    <row r="31" spans="1:7">
      <c r="A31" s="548" t="s">
        <v>928</v>
      </c>
      <c r="B31" s="550">
        <v>3798013263</v>
      </c>
      <c r="C31" s="550">
        <v>2776500937</v>
      </c>
      <c r="D31" s="550">
        <v>1793681925</v>
      </c>
      <c r="E31" s="550">
        <v>1502021540</v>
      </c>
      <c r="F31" s="550">
        <f>1308108219+2520013</f>
        <v>1310628232</v>
      </c>
      <c r="G31" s="966"/>
    </row>
    <row r="32" spans="1:7" ht="12" customHeight="1">
      <c r="B32" s="550"/>
      <c r="C32" s="550"/>
      <c r="D32" s="550"/>
      <c r="E32" s="550"/>
    </row>
    <row r="33" spans="1:6">
      <c r="A33" s="553" t="s">
        <v>25</v>
      </c>
      <c r="B33" s="554">
        <f t="shared" ref="B33:E33" si="0">SUM(B6:B11,B17:B27,B29:B31)</f>
        <v>92043248946.5</v>
      </c>
      <c r="C33" s="554">
        <f t="shared" si="0"/>
        <v>89773478758.619995</v>
      </c>
      <c r="D33" s="554">
        <f t="shared" si="0"/>
        <v>85869132299.540009</v>
      </c>
      <c r="E33" s="554">
        <f t="shared" si="0"/>
        <v>86420963842.51001</v>
      </c>
      <c r="F33" s="554">
        <f>SUM(F6:F11,F17:F27,F29:F31)</f>
        <v>89070341370.790009</v>
      </c>
    </row>
    <row r="34" spans="1:6">
      <c r="B34" s="550"/>
      <c r="C34" s="550"/>
      <c r="D34" s="550"/>
      <c r="E34" s="550"/>
    </row>
    <row r="35" spans="1:6">
      <c r="A35" s="543" t="s">
        <v>2</v>
      </c>
      <c r="B35" s="548"/>
      <c r="C35" s="548"/>
    </row>
    <row r="36" spans="1:6" ht="39.6" customHeight="1">
      <c r="A36" s="1062" t="s">
        <v>929</v>
      </c>
      <c r="B36" s="1062"/>
      <c r="C36" s="1062"/>
    </row>
    <row r="37" spans="1:6">
      <c r="A37" s="1063" t="s">
        <v>930</v>
      </c>
      <c r="B37" s="1063"/>
      <c r="C37" s="1063"/>
    </row>
    <row r="38" spans="1:6" ht="51" customHeight="1">
      <c r="A38" s="1064" t="s">
        <v>931</v>
      </c>
      <c r="B38" s="1065"/>
      <c r="C38" s="1065"/>
    </row>
    <row r="39" spans="1:6" ht="13.15" customHeight="1">
      <c r="A39" s="1064" t="s">
        <v>932</v>
      </c>
      <c r="B39" s="1065"/>
      <c r="C39" s="1065"/>
    </row>
  </sheetData>
  <mergeCells count="4">
    <mergeCell ref="A36:C36"/>
    <mergeCell ref="A37:C37"/>
    <mergeCell ref="A38:C38"/>
    <mergeCell ref="A39:C39"/>
  </mergeCells>
  <printOptions horizontalCentered="1"/>
  <pageMargins left="0.5" right="0.5" top="0.75" bottom="0.75" header="0.5" footer="0.5"/>
  <pageSetup scale="85" orientation="landscape" r:id="rId1"/>
  <headerFooter alignWithMargins="0"/>
</worksheet>
</file>

<file path=xl/worksheets/sheet19.xml><?xml version="1.0" encoding="utf-8"?>
<worksheet xmlns="http://schemas.openxmlformats.org/spreadsheetml/2006/main" xmlns:r="http://schemas.openxmlformats.org/officeDocument/2006/relationships">
  <sheetPr codeName="Sheet16"/>
  <dimension ref="A1:J109"/>
  <sheetViews>
    <sheetView zoomScaleNormal="100" workbookViewId="0">
      <selection activeCell="C19" sqref="C19"/>
    </sheetView>
  </sheetViews>
  <sheetFormatPr defaultColWidth="13.140625" defaultRowHeight="15"/>
  <cols>
    <col min="1" max="1" width="15.7109375" style="363" customWidth="1"/>
    <col min="2" max="2" width="13.85546875" style="362" customWidth="1"/>
    <col min="3" max="3" width="13.140625" style="362" customWidth="1"/>
    <col min="4" max="4" width="15.140625" style="362" customWidth="1"/>
    <col min="5" max="5" width="15.42578125" style="363" customWidth="1"/>
    <col min="6" max="6" width="15.28515625" style="363" customWidth="1"/>
    <col min="7" max="7" width="15.140625" style="362" bestFit="1" customWidth="1"/>
    <col min="8" max="8" width="12.42578125" style="362" customWidth="1"/>
    <col min="9" max="9" width="15.140625" style="362" customWidth="1"/>
    <col min="10" max="16384" width="13.140625" style="363"/>
  </cols>
  <sheetData>
    <row r="1" spans="1:10" ht="18.75">
      <c r="A1" s="297" t="s">
        <v>372</v>
      </c>
      <c r="B1" s="361"/>
      <c r="C1" s="361"/>
      <c r="G1" s="364"/>
      <c r="H1" s="364"/>
      <c r="I1" s="364"/>
    </row>
    <row r="2" spans="1:10">
      <c r="A2" s="849" t="s">
        <v>1066</v>
      </c>
      <c r="B2" s="361"/>
      <c r="C2" s="361"/>
      <c r="G2" s="364"/>
      <c r="H2" s="364"/>
      <c r="I2" s="364"/>
    </row>
    <row r="3" spans="1:10" ht="11.1" customHeight="1" thickBot="1">
      <c r="A3" s="365"/>
      <c r="B3" s="361"/>
      <c r="C3" s="361"/>
      <c r="G3" s="364"/>
      <c r="H3" s="364"/>
      <c r="I3" s="364"/>
    </row>
    <row r="4" spans="1:10">
      <c r="A4" s="366"/>
      <c r="B4" s="367" t="s">
        <v>97</v>
      </c>
      <c r="C4" s="367" t="s">
        <v>76</v>
      </c>
      <c r="D4" s="367" t="s">
        <v>25</v>
      </c>
      <c r="E4" s="368"/>
      <c r="F4" s="369"/>
      <c r="G4" s="367" t="s">
        <v>97</v>
      </c>
      <c r="H4" s="367" t="s">
        <v>76</v>
      </c>
      <c r="I4" s="367" t="s">
        <v>25</v>
      </c>
    </row>
    <row r="5" spans="1:10">
      <c r="A5" s="370" t="s">
        <v>33</v>
      </c>
      <c r="B5" s="371" t="s">
        <v>98</v>
      </c>
      <c r="C5" s="371" t="s">
        <v>85</v>
      </c>
      <c r="D5" s="371" t="s">
        <v>30</v>
      </c>
      <c r="E5" s="368"/>
      <c r="F5" s="372" t="s">
        <v>33</v>
      </c>
      <c r="G5" s="371" t="s">
        <v>98</v>
      </c>
      <c r="H5" s="371" t="s">
        <v>85</v>
      </c>
      <c r="I5" s="371" t="s">
        <v>30</v>
      </c>
    </row>
    <row r="6" spans="1:10" ht="16.5">
      <c r="A6" s="373" t="s">
        <v>99</v>
      </c>
      <c r="B6" s="373">
        <v>5194180.24</v>
      </c>
      <c r="C6" s="373">
        <v>3702271.77</v>
      </c>
      <c r="D6" s="373">
        <f>SUM(B6:C6)</f>
        <v>8896452.0099999998</v>
      </c>
      <c r="E6" s="374"/>
      <c r="F6" s="375" t="s">
        <v>100</v>
      </c>
      <c r="G6" s="373">
        <v>5281307.54</v>
      </c>
      <c r="H6" s="373">
        <v>3713138.21</v>
      </c>
      <c r="I6" s="373">
        <f>SUM(G6:H6)</f>
        <v>8994445.75</v>
      </c>
      <c r="J6" s="376"/>
    </row>
    <row r="7" spans="1:10" ht="16.5">
      <c r="A7" s="373" t="s">
        <v>101</v>
      </c>
      <c r="B7" s="377">
        <v>12235458.960000001</v>
      </c>
      <c r="C7" s="377">
        <v>12293217.58</v>
      </c>
      <c r="D7" s="378">
        <f>SUM(B7:C7)</f>
        <v>24528676.539999999</v>
      </c>
      <c r="E7" s="374"/>
      <c r="F7" s="375" t="s">
        <v>102</v>
      </c>
      <c r="G7" s="377">
        <v>2392166.7599999998</v>
      </c>
      <c r="H7" s="377">
        <v>2252200.48</v>
      </c>
      <c r="I7" s="378">
        <f>SUM(G7:H7)</f>
        <v>4644367.24</v>
      </c>
      <c r="J7" s="376"/>
    </row>
    <row r="8" spans="1:10" ht="16.5">
      <c r="A8" s="373" t="s">
        <v>103</v>
      </c>
      <c r="B8" s="377">
        <v>2341981.4</v>
      </c>
      <c r="C8" s="377">
        <v>836125.85</v>
      </c>
      <c r="D8" s="378">
        <f>SUM(B8:C8)</f>
        <v>3178107.25</v>
      </c>
      <c r="E8" s="374"/>
      <c r="F8" s="375" t="s">
        <v>104</v>
      </c>
      <c r="G8" s="377">
        <v>1846401.46</v>
      </c>
      <c r="H8" s="377">
        <v>396012.99</v>
      </c>
      <c r="I8" s="378">
        <f>SUM(G8:H8)</f>
        <v>2242414.4500000002</v>
      </c>
      <c r="J8" s="376"/>
    </row>
    <row r="9" spans="1:10" ht="16.5">
      <c r="A9" s="373" t="s">
        <v>105</v>
      </c>
      <c r="B9" s="377">
        <v>1424705.38</v>
      </c>
      <c r="C9" s="377">
        <v>617192.91</v>
      </c>
      <c r="D9" s="378">
        <f>SUM(B9:C9)</f>
        <v>2041898.29</v>
      </c>
      <c r="E9" s="374"/>
      <c r="F9" s="375" t="s">
        <v>106</v>
      </c>
      <c r="G9" s="377">
        <v>2538540.6</v>
      </c>
      <c r="H9" s="377">
        <v>1569051.66</v>
      </c>
      <c r="I9" s="378">
        <f>SUM(G9:H9)</f>
        <v>4107592.26</v>
      </c>
      <c r="J9" s="376"/>
    </row>
    <row r="10" spans="1:10" ht="16.5">
      <c r="A10" s="373" t="s">
        <v>107</v>
      </c>
      <c r="B10" s="377">
        <v>4365425.5199999996</v>
      </c>
      <c r="C10" s="377">
        <v>2395899.3199999998</v>
      </c>
      <c r="D10" s="378">
        <f>SUM(B10:C10)</f>
        <v>6761324.8399999999</v>
      </c>
      <c r="E10" s="374"/>
      <c r="F10" s="375" t="s">
        <v>108</v>
      </c>
      <c r="G10" s="377">
        <v>1196780.3799999999</v>
      </c>
      <c r="H10" s="377">
        <v>504004.83</v>
      </c>
      <c r="I10" s="378">
        <f>SUM(G10:H10)</f>
        <v>1700785.21</v>
      </c>
      <c r="J10" s="376"/>
    </row>
    <row r="11" spans="1:10" ht="11.1" customHeight="1">
      <c r="A11" s="373"/>
      <c r="B11" s="377"/>
      <c r="C11" s="377"/>
      <c r="D11" s="378"/>
      <c r="E11" s="375"/>
      <c r="F11" s="375"/>
      <c r="G11" s="377"/>
      <c r="H11" s="377"/>
      <c r="I11" s="378"/>
    </row>
    <row r="12" spans="1:10" ht="15" customHeight="1">
      <c r="A12" s="373" t="s">
        <v>109</v>
      </c>
      <c r="B12" s="377">
        <v>1771820.48</v>
      </c>
      <c r="C12" s="377">
        <v>1190924.92</v>
      </c>
      <c r="D12" s="378">
        <f>SUM(B12:C12)</f>
        <v>2962745.4</v>
      </c>
      <c r="E12" s="374"/>
      <c r="F12" s="375" t="s">
        <v>110</v>
      </c>
      <c r="G12" s="377">
        <v>5053382.5599999996</v>
      </c>
      <c r="H12" s="377">
        <v>3367708.49</v>
      </c>
      <c r="I12" s="378">
        <f>SUM(G12:H12)</f>
        <v>8421091.0500000007</v>
      </c>
      <c r="J12" s="376"/>
    </row>
    <row r="13" spans="1:10" ht="16.5">
      <c r="A13" s="373" t="s">
        <v>111</v>
      </c>
      <c r="B13" s="377">
        <v>16069059.48</v>
      </c>
      <c r="C13" s="377">
        <v>38543632.700000003</v>
      </c>
      <c r="D13" s="378">
        <f>SUM(B13:C13)</f>
        <v>54612692.180000007</v>
      </c>
      <c r="E13" s="374"/>
      <c r="F13" s="375" t="s">
        <v>112</v>
      </c>
      <c r="G13" s="377">
        <v>15775614.82</v>
      </c>
      <c r="H13" s="377">
        <v>16853773.100000001</v>
      </c>
      <c r="I13" s="378">
        <f>SUM(G13:H13)</f>
        <v>32629387.920000002</v>
      </c>
      <c r="J13" s="376"/>
    </row>
    <row r="14" spans="1:10" ht="16.5">
      <c r="A14" s="373" t="s">
        <v>113</v>
      </c>
      <c r="B14" s="377">
        <v>9880234.1999999993</v>
      </c>
      <c r="C14" s="377">
        <v>4555627</v>
      </c>
      <c r="D14" s="378">
        <f>SUM(B14:C14)</f>
        <v>14435861.199999999</v>
      </c>
      <c r="E14" s="374"/>
      <c r="F14" s="375" t="s">
        <v>114</v>
      </c>
      <c r="G14" s="377">
        <v>41592475.020000003</v>
      </c>
      <c r="H14" s="377">
        <v>57651706.82</v>
      </c>
      <c r="I14" s="378">
        <f>SUM(G14:H14)</f>
        <v>99244181.840000004</v>
      </c>
      <c r="J14" s="376"/>
    </row>
    <row r="15" spans="1:10" ht="16.5">
      <c r="A15" s="373" t="s">
        <v>115</v>
      </c>
      <c r="B15" s="377">
        <v>538098.1</v>
      </c>
      <c r="C15" s="377">
        <v>783024.35</v>
      </c>
      <c r="D15" s="378">
        <f>SUM(B15:C15)</f>
        <v>1321122.45</v>
      </c>
      <c r="E15" s="374"/>
      <c r="F15" s="375" t="s">
        <v>116</v>
      </c>
      <c r="G15" s="377">
        <v>6617491.5800000001</v>
      </c>
      <c r="H15" s="377">
        <v>3889174.87</v>
      </c>
      <c r="I15" s="378">
        <f>SUM(G15:H15)</f>
        <v>10506666.449999999</v>
      </c>
      <c r="J15" s="376"/>
    </row>
    <row r="16" spans="1:10" ht="16.5">
      <c r="A16" s="373" t="s">
        <v>117</v>
      </c>
      <c r="B16" s="377">
        <v>7946705.4199999999</v>
      </c>
      <c r="C16" s="377">
        <v>4018960.49</v>
      </c>
      <c r="D16" s="378">
        <f>SUM(B16:C16)</f>
        <v>11965665.91</v>
      </c>
      <c r="E16" s="374"/>
      <c r="F16" s="375" t="s">
        <v>118</v>
      </c>
      <c r="G16" s="377">
        <v>255108.68</v>
      </c>
      <c r="H16" s="377">
        <v>108319.31</v>
      </c>
      <c r="I16" s="378">
        <f>SUM(G16:H16)</f>
        <v>363427.99</v>
      </c>
      <c r="J16" s="376"/>
    </row>
    <row r="17" spans="1:10" ht="11.1" customHeight="1">
      <c r="A17" s="373"/>
      <c r="B17" s="377"/>
      <c r="C17" s="377"/>
      <c r="D17" s="378"/>
      <c r="E17" s="375"/>
      <c r="F17" s="375"/>
      <c r="G17" s="377"/>
      <c r="H17" s="377"/>
      <c r="I17" s="378"/>
    </row>
    <row r="18" spans="1:10" ht="16.5">
      <c r="A18" s="373" t="s">
        <v>119</v>
      </c>
      <c r="B18" s="377">
        <v>703988.48</v>
      </c>
      <c r="C18" s="377">
        <v>233444.11</v>
      </c>
      <c r="D18" s="378">
        <f>SUM(B18:C18)</f>
        <v>937432.59</v>
      </c>
      <c r="E18" s="374"/>
      <c r="F18" s="375" t="s">
        <v>120</v>
      </c>
      <c r="G18" s="377">
        <v>5290368.76</v>
      </c>
      <c r="H18" s="377">
        <v>2507268.09</v>
      </c>
      <c r="I18" s="378">
        <f>SUM(G18:H18)</f>
        <v>7797636.8499999996</v>
      </c>
      <c r="J18" s="376"/>
    </row>
    <row r="19" spans="1:10" ht="16.5">
      <c r="A19" s="373" t="s">
        <v>121</v>
      </c>
      <c r="B19" s="377">
        <v>4627504.4000000004</v>
      </c>
      <c r="C19" s="377">
        <v>2233279.67</v>
      </c>
      <c r="D19" s="378">
        <f>SUM(B19:C19)</f>
        <v>6860784.0700000003</v>
      </c>
      <c r="E19" s="374"/>
      <c r="F19" s="375" t="s">
        <v>122</v>
      </c>
      <c r="G19" s="377">
        <v>8490379.7200000007</v>
      </c>
      <c r="H19" s="377">
        <v>9296477.2699999996</v>
      </c>
      <c r="I19" s="378">
        <f>SUM(G19:H19)</f>
        <v>17786856.990000002</v>
      </c>
      <c r="J19" s="376"/>
    </row>
    <row r="20" spans="1:10" ht="16.5">
      <c r="A20" s="373" t="s">
        <v>123</v>
      </c>
      <c r="B20" s="377">
        <v>1923770.44</v>
      </c>
      <c r="C20" s="377">
        <v>711855.76</v>
      </c>
      <c r="D20" s="378">
        <f>SUM(B20:C20)</f>
        <v>2635626.2000000002</v>
      </c>
      <c r="E20" s="374"/>
      <c r="F20" s="375" t="s">
        <v>124</v>
      </c>
      <c r="G20" s="377">
        <v>795297.86</v>
      </c>
      <c r="H20" s="377">
        <v>176470.85</v>
      </c>
      <c r="I20" s="378">
        <f>SUM(G20:H20)</f>
        <v>971768.71</v>
      </c>
      <c r="J20" s="376"/>
    </row>
    <row r="21" spans="1:10" ht="16.5">
      <c r="A21" s="373" t="s">
        <v>125</v>
      </c>
      <c r="B21" s="377">
        <v>2670277.04</v>
      </c>
      <c r="C21" s="377">
        <v>2100640.4900000002</v>
      </c>
      <c r="D21" s="378">
        <f>SUM(B21:C21)</f>
        <v>4770917.53</v>
      </c>
      <c r="E21" s="374"/>
      <c r="F21" s="375" t="s">
        <v>126</v>
      </c>
      <c r="G21" s="377">
        <v>3339414.6</v>
      </c>
      <c r="H21" s="377">
        <v>1693840.67</v>
      </c>
      <c r="I21" s="378">
        <f>SUM(G21:H21)</f>
        <v>5033255.2699999996</v>
      </c>
      <c r="J21" s="376"/>
    </row>
    <row r="22" spans="1:10" ht="16.5">
      <c r="A22" s="373" t="s">
        <v>127</v>
      </c>
      <c r="B22" s="377">
        <v>1770426.42</v>
      </c>
      <c r="C22" s="377">
        <v>621236.12</v>
      </c>
      <c r="D22" s="378">
        <f>SUM(B22:C22)</f>
        <v>2391662.54</v>
      </c>
      <c r="E22" s="374"/>
      <c r="F22" s="375" t="s">
        <v>128</v>
      </c>
      <c r="G22" s="377">
        <v>2410289.2599999998</v>
      </c>
      <c r="H22" s="377">
        <v>940251.19</v>
      </c>
      <c r="I22" s="378">
        <f>SUM(G22:H22)</f>
        <v>3350540.4499999997</v>
      </c>
      <c r="J22" s="376"/>
    </row>
    <row r="23" spans="1:10" ht="11.1" customHeight="1">
      <c r="A23" s="373"/>
      <c r="B23" s="377"/>
      <c r="C23" s="377"/>
      <c r="D23" s="378"/>
      <c r="E23" s="375"/>
      <c r="F23" s="375"/>
      <c r="G23" s="377"/>
      <c r="H23" s="377"/>
      <c r="I23" s="378"/>
    </row>
    <row r="24" spans="1:10" ht="16.5">
      <c r="A24" s="373" t="s">
        <v>129</v>
      </c>
      <c r="B24" s="377">
        <v>7513857.0999999996</v>
      </c>
      <c r="C24" s="377">
        <v>4293819.68</v>
      </c>
      <c r="D24" s="378">
        <f>SUM(B24:C24)</f>
        <v>11807676.779999999</v>
      </c>
      <c r="E24" s="374"/>
      <c r="F24" s="375" t="s">
        <v>130</v>
      </c>
      <c r="G24" s="377">
        <v>1206538.6399999999</v>
      </c>
      <c r="H24" s="377">
        <v>1652146.09</v>
      </c>
      <c r="I24" s="378">
        <f>SUM(G24:H24)</f>
        <v>2858684.73</v>
      </c>
      <c r="J24" s="376"/>
    </row>
    <row r="25" spans="1:10" ht="16.5">
      <c r="A25" s="373" t="s">
        <v>131</v>
      </c>
      <c r="B25" s="377">
        <v>4054555.38</v>
      </c>
      <c r="C25" s="377">
        <v>1560273.99</v>
      </c>
      <c r="D25" s="378">
        <f>SUM(B25:C25)</f>
        <v>5614829.3700000001</v>
      </c>
      <c r="E25" s="374"/>
      <c r="F25" s="375" t="s">
        <v>132</v>
      </c>
      <c r="G25" s="377">
        <v>3108004.5</v>
      </c>
      <c r="H25" s="377">
        <v>1374521.79</v>
      </c>
      <c r="I25" s="378">
        <f>SUM(G25:H25)</f>
        <v>4482526.29</v>
      </c>
      <c r="J25" s="376"/>
    </row>
    <row r="26" spans="1:10" ht="16.5">
      <c r="A26" s="373" t="s">
        <v>133</v>
      </c>
      <c r="B26" s="377">
        <v>3064789.36</v>
      </c>
      <c r="C26" s="377">
        <v>1680046.22</v>
      </c>
      <c r="D26" s="378">
        <f>SUM(B26:C26)</f>
        <v>4744835.58</v>
      </c>
      <c r="E26" s="374"/>
      <c r="F26" s="375" t="s">
        <v>134</v>
      </c>
      <c r="G26" s="377">
        <v>49714132</v>
      </c>
      <c r="H26" s="377">
        <v>60397459.329999998</v>
      </c>
      <c r="I26" s="378">
        <f>SUM(G26:H26)</f>
        <v>110111591.33</v>
      </c>
      <c r="J26" s="376"/>
    </row>
    <row r="27" spans="1:10" ht="16.5">
      <c r="A27" s="373" t="s">
        <v>135</v>
      </c>
      <c r="B27" s="377">
        <v>733263.28</v>
      </c>
      <c r="C27" s="377">
        <v>448734.4</v>
      </c>
      <c r="D27" s="378">
        <f>SUM(B27:C27)</f>
        <v>1181997.6800000002</v>
      </c>
      <c r="E27" s="374"/>
      <c r="F27" s="375" t="s">
        <v>136</v>
      </c>
      <c r="G27" s="377">
        <v>4120075.06</v>
      </c>
      <c r="H27" s="377">
        <v>2895317.25</v>
      </c>
      <c r="I27" s="378">
        <f>SUM(G27:H27)</f>
        <v>7015392.3100000005</v>
      </c>
      <c r="J27" s="376"/>
    </row>
    <row r="28" spans="1:10" ht="16.5">
      <c r="A28" s="373" t="s">
        <v>137</v>
      </c>
      <c r="B28" s="377">
        <v>1610809.28</v>
      </c>
      <c r="C28" s="377">
        <v>528518.34</v>
      </c>
      <c r="D28" s="378">
        <f>SUM(B28:C28)</f>
        <v>2139327.62</v>
      </c>
      <c r="E28" s="374"/>
      <c r="F28" s="375" t="s">
        <v>138</v>
      </c>
      <c r="G28" s="377">
        <v>1444221.9</v>
      </c>
      <c r="H28" s="377">
        <v>352852.59</v>
      </c>
      <c r="I28" s="378">
        <f>SUM(G28:H28)</f>
        <v>1797074.49</v>
      </c>
      <c r="J28" s="376"/>
    </row>
    <row r="29" spans="1:10" ht="11.1" customHeight="1">
      <c r="A29" s="373"/>
      <c r="B29" s="377"/>
      <c r="C29" s="377"/>
      <c r="D29" s="378"/>
      <c r="E29" s="375"/>
      <c r="F29" s="375"/>
      <c r="G29" s="377"/>
      <c r="H29" s="377"/>
      <c r="I29" s="378"/>
    </row>
    <row r="30" spans="1:10" ht="16.5">
      <c r="A30" s="373" t="s">
        <v>139</v>
      </c>
      <c r="B30" s="377">
        <v>45226031.259999998</v>
      </c>
      <c r="C30" s="377">
        <v>40413176.880000003</v>
      </c>
      <c r="D30" s="378">
        <f>SUM(B30:C30)</f>
        <v>85639208.140000001</v>
      </c>
      <c r="E30" s="374"/>
      <c r="F30" s="375" t="s">
        <v>140</v>
      </c>
      <c r="G30" s="377">
        <v>1700724.6</v>
      </c>
      <c r="H30" s="377">
        <v>833333.75</v>
      </c>
      <c r="I30" s="378">
        <f>SUM(G30:H30)</f>
        <v>2534058.35</v>
      </c>
      <c r="J30" s="376"/>
    </row>
    <row r="31" spans="1:10" ht="16.5">
      <c r="A31" s="373" t="s">
        <v>141</v>
      </c>
      <c r="B31" s="377">
        <v>1735575.54</v>
      </c>
      <c r="C31" s="377">
        <v>978372.42</v>
      </c>
      <c r="D31" s="378">
        <f>SUM(B31:C31)</f>
        <v>2713947.96</v>
      </c>
      <c r="E31" s="374"/>
      <c r="F31" s="375" t="s">
        <v>142</v>
      </c>
      <c r="G31" s="377">
        <v>1096409.78</v>
      </c>
      <c r="H31" s="377">
        <v>415431.82</v>
      </c>
      <c r="I31" s="378">
        <f>SUM(G31:H31)</f>
        <v>1511841.6</v>
      </c>
      <c r="J31" s="376"/>
    </row>
    <row r="32" spans="1:10" ht="16.5">
      <c r="A32" s="373" t="s">
        <v>143</v>
      </c>
      <c r="B32" s="377">
        <v>642650.86</v>
      </c>
      <c r="C32" s="377">
        <v>151211.95000000001</v>
      </c>
      <c r="D32" s="378">
        <f>SUM(B32:C32)</f>
        <v>793862.81</v>
      </c>
      <c r="E32" s="374"/>
      <c r="F32" s="375" t="s">
        <v>144</v>
      </c>
      <c r="G32" s="377">
        <v>3667013.2</v>
      </c>
      <c r="H32" s="377">
        <v>4498986.5599999996</v>
      </c>
      <c r="I32" s="378">
        <f>SUM(G32:H32)</f>
        <v>8165999.7599999998</v>
      </c>
      <c r="J32" s="376"/>
    </row>
    <row r="33" spans="1:10" ht="16.5">
      <c r="A33" s="373" t="s">
        <v>145</v>
      </c>
      <c r="B33" s="377">
        <v>6273861.5599999996</v>
      </c>
      <c r="C33" s="377">
        <v>6098088.8700000001</v>
      </c>
      <c r="D33" s="378">
        <f>SUM(B33:C33)</f>
        <v>12371950.43</v>
      </c>
      <c r="E33" s="374"/>
      <c r="F33" s="375" t="s">
        <v>146</v>
      </c>
      <c r="G33" s="377">
        <v>1067832</v>
      </c>
      <c r="H33" s="377">
        <v>869748.54</v>
      </c>
      <c r="I33" s="378">
        <f>SUM(G33:H33)</f>
        <v>1937580.54</v>
      </c>
      <c r="J33" s="376"/>
    </row>
    <row r="34" spans="1:10" ht="16.5">
      <c r="A34" s="373" t="s">
        <v>147</v>
      </c>
      <c r="B34" s="377">
        <v>1313182.42</v>
      </c>
      <c r="C34" s="377">
        <v>380159.05</v>
      </c>
      <c r="D34" s="378">
        <f>SUM(B34:C34)</f>
        <v>1693341.47</v>
      </c>
      <c r="E34" s="374"/>
      <c r="F34" s="375" t="s">
        <v>148</v>
      </c>
      <c r="G34" s="377">
        <v>9563090.8599999994</v>
      </c>
      <c r="H34" s="377">
        <v>10653069.050000001</v>
      </c>
      <c r="I34" s="378">
        <f>SUM(G34:H34)</f>
        <v>20216159.91</v>
      </c>
      <c r="J34" s="376"/>
    </row>
    <row r="35" spans="1:10" ht="11.1" customHeight="1">
      <c r="A35" s="373"/>
      <c r="B35" s="377"/>
      <c r="C35" s="377"/>
      <c r="D35" s="378"/>
      <c r="E35" s="375"/>
      <c r="F35" s="375"/>
      <c r="G35" s="377"/>
      <c r="H35" s="377"/>
      <c r="I35" s="378"/>
    </row>
    <row r="36" spans="1:10" ht="16.5">
      <c r="A36" s="373" t="s">
        <v>149</v>
      </c>
      <c r="B36" s="377">
        <v>1886828.48</v>
      </c>
      <c r="C36" s="377">
        <v>878661.66</v>
      </c>
      <c r="D36" s="378">
        <f>SUM(B36:C36)</f>
        <v>2765490.14</v>
      </c>
      <c r="E36" s="374"/>
      <c r="F36" s="375" t="s">
        <v>150</v>
      </c>
      <c r="G36" s="377">
        <v>1863826.92</v>
      </c>
      <c r="H36" s="377">
        <v>980595.94</v>
      </c>
      <c r="I36" s="378">
        <f>SUM(G36:H36)</f>
        <v>2844422.86</v>
      </c>
      <c r="J36" s="376"/>
    </row>
    <row r="37" spans="1:10" ht="16.5">
      <c r="A37" s="373" t="s">
        <v>151</v>
      </c>
      <c r="B37" s="377">
        <v>4023886.52</v>
      </c>
      <c r="C37" s="377">
        <v>1332688.93</v>
      </c>
      <c r="D37" s="378">
        <f>SUM(B37:C37)</f>
        <v>5356575.45</v>
      </c>
      <c r="E37" s="374"/>
      <c r="F37" s="375" t="s">
        <v>152</v>
      </c>
      <c r="G37" s="377">
        <v>2429108.7599999998</v>
      </c>
      <c r="H37" s="377">
        <v>1105143.3500000001</v>
      </c>
      <c r="I37" s="378">
        <f>SUM(G37:H37)</f>
        <v>3534252.11</v>
      </c>
      <c r="J37" s="376"/>
    </row>
    <row r="38" spans="1:10" ht="16.5">
      <c r="A38" s="373" t="s">
        <v>153</v>
      </c>
      <c r="B38" s="377">
        <v>1252541.8799999999</v>
      </c>
      <c r="C38" s="377">
        <v>1800848.45</v>
      </c>
      <c r="D38" s="378">
        <f>SUM(B38:C38)</f>
        <v>3053390.33</v>
      </c>
      <c r="E38" s="374"/>
      <c r="F38" s="375" t="s">
        <v>154</v>
      </c>
      <c r="G38" s="377">
        <v>1568988.18</v>
      </c>
      <c r="H38" s="377">
        <v>1274987.1499999999</v>
      </c>
      <c r="I38" s="378">
        <f>SUM(G38:H38)</f>
        <v>2843975.33</v>
      </c>
      <c r="J38" s="376"/>
    </row>
    <row r="39" spans="1:10" ht="16.5">
      <c r="A39" s="373" t="s">
        <v>155</v>
      </c>
      <c r="B39" s="377">
        <v>142077418.69999999</v>
      </c>
      <c r="C39" s="377">
        <v>164789361.15000001</v>
      </c>
      <c r="D39" s="378">
        <f>SUM(B39:C39)</f>
        <v>306866779.85000002</v>
      </c>
      <c r="E39" s="374"/>
      <c r="F39" s="375" t="s">
        <v>156</v>
      </c>
      <c r="G39" s="377">
        <v>1269270.28</v>
      </c>
      <c r="H39" s="377">
        <v>667969.44999999995</v>
      </c>
      <c r="I39" s="378">
        <f>SUM(G39:H39)</f>
        <v>1937239.73</v>
      </c>
      <c r="J39" s="376"/>
    </row>
    <row r="40" spans="1:10" ht="16.5">
      <c r="A40" s="373" t="s">
        <v>157</v>
      </c>
      <c r="B40" s="377">
        <v>10757083.140000001</v>
      </c>
      <c r="C40" s="377">
        <v>7111785.5599999996</v>
      </c>
      <c r="D40" s="378">
        <f>SUM(B40:C40)</f>
        <v>17868868.699999999</v>
      </c>
      <c r="E40" s="374"/>
      <c r="F40" s="375" t="s">
        <v>158</v>
      </c>
      <c r="G40" s="377">
        <v>1989290.2</v>
      </c>
      <c r="H40" s="377">
        <v>1280149.26</v>
      </c>
      <c r="I40" s="378">
        <f>SUM(G40:H40)</f>
        <v>3269439.46</v>
      </c>
      <c r="J40" s="376"/>
    </row>
    <row r="41" spans="1:10" ht="11.1" customHeight="1">
      <c r="A41" s="373"/>
      <c r="B41" s="377"/>
      <c r="C41" s="377"/>
      <c r="D41" s="378"/>
      <c r="E41" s="375"/>
      <c r="F41" s="375"/>
      <c r="G41" s="377"/>
      <c r="H41" s="377"/>
      <c r="I41" s="378"/>
    </row>
    <row r="42" spans="1:10" ht="16.5">
      <c r="A42" s="373" t="s">
        <v>159</v>
      </c>
      <c r="B42" s="377">
        <v>1719544.1</v>
      </c>
      <c r="C42" s="377">
        <v>732550.51</v>
      </c>
      <c r="D42" s="378">
        <f>SUM(B42:C42)</f>
        <v>2452094.6100000003</v>
      </c>
      <c r="E42" s="374"/>
      <c r="F42" s="375" t="s">
        <v>160</v>
      </c>
      <c r="G42" s="377">
        <v>4081042.04</v>
      </c>
      <c r="H42" s="377">
        <v>2262913.79</v>
      </c>
      <c r="I42" s="378">
        <f>SUM(G42:H42)</f>
        <v>6343955.8300000001</v>
      </c>
      <c r="J42" s="376"/>
    </row>
    <row r="43" spans="1:10" ht="16.5">
      <c r="A43" s="373" t="s">
        <v>161</v>
      </c>
      <c r="B43" s="377">
        <v>2872412.36</v>
      </c>
      <c r="C43" s="377">
        <v>1196689.29</v>
      </c>
      <c r="D43" s="378">
        <f>SUM(B43:C43)</f>
        <v>4069101.65</v>
      </c>
      <c r="E43" s="374"/>
      <c r="F43" s="375" t="s">
        <v>162</v>
      </c>
      <c r="G43" s="377">
        <v>2709310.08</v>
      </c>
      <c r="H43" s="377">
        <v>1736299.61</v>
      </c>
      <c r="I43" s="378">
        <f>SUM(G43:H43)</f>
        <v>4445609.6900000004</v>
      </c>
      <c r="J43" s="376"/>
    </row>
    <row r="44" spans="1:10" ht="16.5">
      <c r="A44" s="373" t="s">
        <v>36</v>
      </c>
      <c r="B44" s="377">
        <v>6607036.2999999998</v>
      </c>
      <c r="C44" s="377">
        <v>3975821.59</v>
      </c>
      <c r="D44" s="378">
        <f>SUM(B44:C44)</f>
        <v>10582857.890000001</v>
      </c>
      <c r="E44" s="374"/>
      <c r="F44" s="375" t="s">
        <v>163</v>
      </c>
      <c r="G44" s="377">
        <v>2270885.54</v>
      </c>
      <c r="H44" s="377">
        <v>984468.04</v>
      </c>
      <c r="I44" s="378">
        <f>SUM(G44:H44)</f>
        <v>3255353.58</v>
      </c>
      <c r="J44" s="376"/>
    </row>
    <row r="45" spans="1:10" ht="16.5">
      <c r="A45" s="373" t="s">
        <v>164</v>
      </c>
      <c r="B45" s="377">
        <v>11313303.74</v>
      </c>
      <c r="C45" s="377">
        <v>10561877.550000001</v>
      </c>
      <c r="D45" s="378">
        <f>SUM(B45:C45)</f>
        <v>21875181.289999999</v>
      </c>
      <c r="E45" s="374"/>
      <c r="F45" s="375" t="s">
        <v>165</v>
      </c>
      <c r="G45" s="377">
        <v>7849819.9000000004</v>
      </c>
      <c r="H45" s="377">
        <v>2021617.52</v>
      </c>
      <c r="I45" s="378">
        <f>SUM(G45:H45)</f>
        <v>9871437.4199999999</v>
      </c>
      <c r="J45" s="376"/>
    </row>
    <row r="46" spans="1:10" ht="16.5">
      <c r="A46" s="379" t="s">
        <v>166</v>
      </c>
      <c r="B46" s="380">
        <v>2174000.02</v>
      </c>
      <c r="C46" s="380">
        <v>1478126.8</v>
      </c>
      <c r="D46" s="381">
        <f>SUM(B46:C46)</f>
        <v>3652126.8200000003</v>
      </c>
      <c r="E46" s="374"/>
      <c r="F46" s="382" t="s">
        <v>167</v>
      </c>
      <c r="G46" s="380">
        <v>3800840.68</v>
      </c>
      <c r="H46" s="380">
        <v>1313975.04</v>
      </c>
      <c r="I46" s="381">
        <f>SUM(G46:H46)</f>
        <v>5114815.7200000007</v>
      </c>
      <c r="J46" s="376"/>
    </row>
    <row r="47" spans="1:10" ht="18.75">
      <c r="A47" s="297" t="s">
        <v>89</v>
      </c>
      <c r="B47" s="383"/>
      <c r="C47" s="384"/>
      <c r="D47" s="384"/>
      <c r="E47" s="385"/>
      <c r="F47" s="385"/>
      <c r="G47" s="384"/>
      <c r="H47" s="384"/>
      <c r="I47" s="384"/>
    </row>
    <row r="48" spans="1:10">
      <c r="A48" s="849" t="s">
        <v>1066</v>
      </c>
      <c r="B48" s="383"/>
      <c r="C48" s="386"/>
      <c r="D48" s="386"/>
      <c r="E48" s="387"/>
      <c r="F48" s="387"/>
      <c r="G48" s="386"/>
      <c r="H48" s="386"/>
      <c r="I48" s="386"/>
    </row>
    <row r="49" spans="1:10" ht="11.1" customHeight="1" thickBot="1">
      <c r="A49" s="387"/>
      <c r="B49" s="386"/>
      <c r="C49" s="386"/>
      <c r="D49" s="386"/>
      <c r="E49" s="387"/>
      <c r="F49" s="387"/>
      <c r="G49" s="386"/>
      <c r="H49" s="386"/>
      <c r="I49" s="386"/>
    </row>
    <row r="50" spans="1:10">
      <c r="A50" s="388"/>
      <c r="B50" s="367" t="s">
        <v>97</v>
      </c>
      <c r="C50" s="367" t="s">
        <v>76</v>
      </c>
      <c r="D50" s="367" t="s">
        <v>25</v>
      </c>
      <c r="E50" s="375"/>
      <c r="F50" s="389"/>
      <c r="G50" s="367" t="s">
        <v>97</v>
      </c>
      <c r="H50" s="367" t="s">
        <v>76</v>
      </c>
      <c r="I50" s="367" t="s">
        <v>25</v>
      </c>
    </row>
    <row r="51" spans="1:10">
      <c r="A51" s="370" t="s">
        <v>33</v>
      </c>
      <c r="B51" s="371" t="s">
        <v>98</v>
      </c>
      <c r="C51" s="371" t="s">
        <v>85</v>
      </c>
      <c r="D51" s="371" t="s">
        <v>30</v>
      </c>
      <c r="E51" s="375"/>
      <c r="F51" s="370" t="s">
        <v>35</v>
      </c>
      <c r="G51" s="371" t="s">
        <v>98</v>
      </c>
      <c r="H51" s="371" t="s">
        <v>85</v>
      </c>
      <c r="I51" s="371" t="s">
        <v>30</v>
      </c>
    </row>
    <row r="52" spans="1:10" ht="16.5">
      <c r="A52" s="373" t="s">
        <v>168</v>
      </c>
      <c r="B52" s="390">
        <v>2494628.44</v>
      </c>
      <c r="C52" s="390">
        <v>2946168.9</v>
      </c>
      <c r="D52" s="373">
        <f>SUM(B52:C52)</f>
        <v>5440797.3399999999</v>
      </c>
      <c r="E52" s="374"/>
      <c r="F52" s="373" t="s">
        <v>169</v>
      </c>
      <c r="G52" s="391">
        <v>35624604.420000002</v>
      </c>
      <c r="H52" s="391">
        <v>33499519.690000001</v>
      </c>
      <c r="I52" s="373">
        <f>SUM(G52:H52)</f>
        <v>69124124.109999999</v>
      </c>
      <c r="J52" s="376"/>
    </row>
    <row r="53" spans="1:10" ht="16.5">
      <c r="A53" s="373" t="s">
        <v>170</v>
      </c>
      <c r="B53" s="377">
        <v>5083354.34</v>
      </c>
      <c r="C53" s="377">
        <v>1936045.4</v>
      </c>
      <c r="D53" s="378">
        <f>SUM(B53:C53)</f>
        <v>7019399.7400000002</v>
      </c>
      <c r="E53" s="374"/>
      <c r="F53" s="373" t="s">
        <v>171</v>
      </c>
      <c r="G53" s="377">
        <v>2382408.44</v>
      </c>
      <c r="H53" s="377">
        <v>6988385.3099999996</v>
      </c>
      <c r="I53" s="378">
        <f>SUM(G53:H53)</f>
        <v>9370793.75</v>
      </c>
      <c r="J53" s="376"/>
    </row>
    <row r="54" spans="1:10" ht="16.5">
      <c r="A54" s="373" t="s">
        <v>172</v>
      </c>
      <c r="B54" s="377">
        <v>58541868.579999998</v>
      </c>
      <c r="C54" s="377">
        <v>51850307.329999998</v>
      </c>
      <c r="D54" s="378">
        <f>SUM(B54:C54)</f>
        <v>110392175.91</v>
      </c>
      <c r="E54" s="374"/>
      <c r="F54" s="373" t="s">
        <v>173</v>
      </c>
      <c r="G54" s="377">
        <v>570857.98</v>
      </c>
      <c r="H54" s="377">
        <v>1266203.02</v>
      </c>
      <c r="I54" s="378">
        <f>SUM(G54:H54)</f>
        <v>1837061</v>
      </c>
      <c r="J54" s="376"/>
    </row>
    <row r="55" spans="1:10" ht="16.5">
      <c r="A55" s="373" t="s">
        <v>174</v>
      </c>
      <c r="B55" s="377">
        <v>3862875.36</v>
      </c>
      <c r="C55" s="377">
        <v>3501539.29</v>
      </c>
      <c r="D55" s="378">
        <f>SUM(B55:C55)</f>
        <v>7364414.6500000004</v>
      </c>
      <c r="E55" s="374"/>
      <c r="F55" s="375" t="s">
        <v>175</v>
      </c>
      <c r="G55" s="377">
        <v>5922564.3600000003</v>
      </c>
      <c r="H55" s="377">
        <v>8126807.21</v>
      </c>
      <c r="I55" s="378">
        <f>SUM(G55:H55)</f>
        <v>14049371.57</v>
      </c>
      <c r="J55" s="376"/>
    </row>
    <row r="56" spans="1:10" ht="16.5">
      <c r="A56" s="373" t="s">
        <v>176</v>
      </c>
      <c r="B56" s="377">
        <v>875454.94</v>
      </c>
      <c r="C56" s="377">
        <v>436422</v>
      </c>
      <c r="D56" s="378">
        <f>SUM(B56:C56)</f>
        <v>1311876.94</v>
      </c>
      <c r="E56" s="374"/>
      <c r="F56" s="375" t="s">
        <v>177</v>
      </c>
      <c r="G56" s="377">
        <v>861514.66</v>
      </c>
      <c r="H56" s="377">
        <v>1452370.43</v>
      </c>
      <c r="I56" s="378">
        <f>SUM(G56:H56)</f>
        <v>2313885.09</v>
      </c>
      <c r="J56" s="376"/>
    </row>
    <row r="57" spans="1:10" ht="11.1" customHeight="1">
      <c r="A57" s="373"/>
      <c r="B57" s="377"/>
      <c r="C57" s="377"/>
      <c r="D57" s="378"/>
      <c r="E57" s="375"/>
      <c r="G57" s="363"/>
      <c r="H57" s="363"/>
      <c r="I57" s="363"/>
      <c r="J57" s="376"/>
    </row>
    <row r="58" spans="1:10" ht="16.5">
      <c r="A58" s="373" t="s">
        <v>178</v>
      </c>
      <c r="B58" s="377">
        <v>976522.6</v>
      </c>
      <c r="C58" s="377">
        <v>1178997.7</v>
      </c>
      <c r="D58" s="378">
        <f>SUM(B58:C58)</f>
        <v>2155520.2999999998</v>
      </c>
      <c r="E58" s="374"/>
      <c r="F58" s="375" t="s">
        <v>155</v>
      </c>
      <c r="G58" s="377">
        <v>2469535.7799999998</v>
      </c>
      <c r="H58" s="377">
        <v>10204973.17</v>
      </c>
      <c r="I58" s="378">
        <f>SUM(G58:H58)</f>
        <v>12674508.949999999</v>
      </c>
      <c r="J58" s="376"/>
    </row>
    <row r="59" spans="1:10" ht="16.5">
      <c r="A59" s="373" t="s">
        <v>37</v>
      </c>
      <c r="B59" s="377">
        <v>14021916.779999999</v>
      </c>
      <c r="C59" s="377">
        <v>10570658.25</v>
      </c>
      <c r="D59" s="378">
        <f>SUM(B59:C59)</f>
        <v>24592575.030000001</v>
      </c>
      <c r="E59" s="374"/>
      <c r="F59" s="375" t="s">
        <v>179</v>
      </c>
      <c r="G59" s="377">
        <v>1896586.76</v>
      </c>
      <c r="H59" s="377">
        <v>3983135.32</v>
      </c>
      <c r="I59" s="378">
        <f>SUM(G59:H59)</f>
        <v>5879722.0800000001</v>
      </c>
      <c r="J59" s="376"/>
    </row>
    <row r="60" spans="1:10" ht="16.5">
      <c r="A60" s="373" t="s">
        <v>180</v>
      </c>
      <c r="B60" s="377">
        <v>2470232.7999999998</v>
      </c>
      <c r="C60" s="377">
        <v>2366538.2999999998</v>
      </c>
      <c r="D60" s="378">
        <f>SUM(B60:C60)</f>
        <v>4836771.0999999996</v>
      </c>
      <c r="E60" s="374"/>
      <c r="F60" s="375" t="s">
        <v>36</v>
      </c>
      <c r="G60" s="377">
        <v>1129866.6200000001</v>
      </c>
      <c r="H60" s="377">
        <v>1687129.47</v>
      </c>
      <c r="I60" s="378">
        <f>SUM(G60:H60)</f>
        <v>2816996.09</v>
      </c>
      <c r="J60" s="376"/>
    </row>
    <row r="61" spans="1:10" ht="16.5">
      <c r="A61" s="373" t="s">
        <v>181</v>
      </c>
      <c r="B61" s="377">
        <v>10504065.52</v>
      </c>
      <c r="C61" s="377">
        <v>5590948.1900000004</v>
      </c>
      <c r="D61" s="378">
        <f>SUM(B61:C61)</f>
        <v>16095013.710000001</v>
      </c>
      <c r="E61" s="374"/>
      <c r="F61" s="375" t="s">
        <v>182</v>
      </c>
      <c r="G61" s="377">
        <v>2378226.38</v>
      </c>
      <c r="H61" s="377">
        <v>10248222.01</v>
      </c>
      <c r="I61" s="378">
        <f>SUM(G61:H61)</f>
        <v>12626448.390000001</v>
      </c>
      <c r="J61" s="376"/>
    </row>
    <row r="62" spans="1:10" ht="16.5">
      <c r="A62" s="373" t="s">
        <v>183</v>
      </c>
      <c r="B62" s="377">
        <v>2969994.92</v>
      </c>
      <c r="C62" s="377">
        <v>1939773.84</v>
      </c>
      <c r="D62" s="378">
        <f>SUM(B62:C62)</f>
        <v>4909768.76</v>
      </c>
      <c r="E62" s="374"/>
      <c r="F62" s="375" t="s">
        <v>184</v>
      </c>
      <c r="G62" s="377">
        <v>913093.94</v>
      </c>
      <c r="H62" s="377">
        <v>2024969.49</v>
      </c>
      <c r="I62" s="378">
        <f>SUM(G62:H62)</f>
        <v>2938063.4299999997</v>
      </c>
      <c r="J62" s="376"/>
    </row>
    <row r="63" spans="1:10" ht="11.1" customHeight="1">
      <c r="A63" s="373"/>
      <c r="B63" s="377"/>
      <c r="C63" s="377"/>
      <c r="D63" s="378"/>
      <c r="E63" s="375"/>
      <c r="G63" s="363"/>
      <c r="H63" s="363"/>
      <c r="I63" s="363"/>
    </row>
    <row r="64" spans="1:10" ht="16.5">
      <c r="A64" s="373" t="s">
        <v>185</v>
      </c>
      <c r="B64" s="377">
        <v>3038999.72</v>
      </c>
      <c r="C64" s="377">
        <v>1470371.1</v>
      </c>
      <c r="D64" s="378">
        <f>SUM(B64:C64)</f>
        <v>4509370.82</v>
      </c>
      <c r="E64" s="374"/>
      <c r="F64" s="375" t="s">
        <v>186</v>
      </c>
      <c r="G64" s="377">
        <v>18427072.34</v>
      </c>
      <c r="H64" s="377">
        <v>14003919.16</v>
      </c>
      <c r="I64" s="378">
        <f>SUM(G64:H64)</f>
        <v>32430991.5</v>
      </c>
      <c r="J64" s="376"/>
    </row>
    <row r="65" spans="1:10" ht="16.5">
      <c r="A65" s="373" t="s">
        <v>187</v>
      </c>
      <c r="B65" s="377">
        <v>4932101.3600000003</v>
      </c>
      <c r="C65" s="377">
        <v>3903578.03</v>
      </c>
      <c r="D65" s="378">
        <f>SUM(B65:C65)</f>
        <v>8835679.3900000006</v>
      </c>
      <c r="E65" s="374"/>
      <c r="F65" s="375" t="s">
        <v>188</v>
      </c>
      <c r="G65" s="377">
        <v>3908878.54</v>
      </c>
      <c r="H65" s="377">
        <v>10863832.58</v>
      </c>
      <c r="I65" s="378">
        <f>SUM(G65:H65)</f>
        <v>14772711.120000001</v>
      </c>
      <c r="J65" s="376"/>
    </row>
    <row r="66" spans="1:10" ht="16.5">
      <c r="A66" s="373" t="s">
        <v>189</v>
      </c>
      <c r="B66" s="377">
        <v>3930486.1</v>
      </c>
      <c r="C66" s="377">
        <v>2231223.98</v>
      </c>
      <c r="D66" s="378">
        <f>SUM(B66:C66)</f>
        <v>6161710.0800000001</v>
      </c>
      <c r="E66" s="374"/>
      <c r="F66" s="375" t="s">
        <v>190</v>
      </c>
      <c r="G66" s="377">
        <v>2774132.74</v>
      </c>
      <c r="H66" s="377">
        <v>1817079.18</v>
      </c>
      <c r="I66" s="378">
        <f>SUM(G66:H66)</f>
        <v>4591211.92</v>
      </c>
      <c r="J66" s="376"/>
    </row>
    <row r="67" spans="1:10" ht="16.5">
      <c r="A67" s="373" t="s">
        <v>191</v>
      </c>
      <c r="B67" s="377">
        <v>2355224.7400000002</v>
      </c>
      <c r="C67" s="377">
        <v>562283.78</v>
      </c>
      <c r="D67" s="378">
        <f>SUM(B67:C67)</f>
        <v>2917508.5200000005</v>
      </c>
      <c r="E67" s="374"/>
      <c r="F67" s="375" t="s">
        <v>192</v>
      </c>
      <c r="G67" s="377">
        <v>401482.54</v>
      </c>
      <c r="H67" s="377">
        <v>805946.77</v>
      </c>
      <c r="I67" s="378">
        <f>SUM(G67:H67)</f>
        <v>1207429.31</v>
      </c>
      <c r="J67" s="376"/>
    </row>
    <row r="68" spans="1:10" ht="16.5">
      <c r="A68" s="373" t="s">
        <v>193</v>
      </c>
      <c r="B68" s="377">
        <v>20979553.300000001</v>
      </c>
      <c r="C68" s="377">
        <v>15052914.779999999</v>
      </c>
      <c r="D68" s="378">
        <f>SUM(B68:C68)</f>
        <v>36032468.079999998</v>
      </c>
      <c r="E68" s="374"/>
      <c r="F68" s="375" t="s">
        <v>194</v>
      </c>
      <c r="G68" s="377">
        <v>8109807.7199999997</v>
      </c>
      <c r="H68" s="377">
        <v>13380056</v>
      </c>
      <c r="I68" s="378">
        <f>SUM(G68:H68)</f>
        <v>21489863.719999999</v>
      </c>
      <c r="J68" s="376"/>
    </row>
    <row r="69" spans="1:10" ht="11.1" customHeight="1">
      <c r="A69" s="373"/>
      <c r="B69" s="377"/>
      <c r="C69" s="377"/>
      <c r="D69" s="378"/>
      <c r="E69" s="375"/>
      <c r="G69" s="363"/>
      <c r="H69" s="363"/>
      <c r="I69" s="363"/>
    </row>
    <row r="70" spans="1:10" ht="16.5">
      <c r="A70" s="373" t="s">
        <v>195</v>
      </c>
      <c r="B70" s="377">
        <v>21029041.579999998</v>
      </c>
      <c r="C70" s="377">
        <v>10931623.01</v>
      </c>
      <c r="D70" s="378">
        <f>SUM(B70:C70)</f>
        <v>31960664.589999996</v>
      </c>
      <c r="E70" s="374"/>
      <c r="F70" s="375" t="s">
        <v>196</v>
      </c>
      <c r="G70" s="377">
        <v>5417226.0999999996</v>
      </c>
      <c r="H70" s="377">
        <v>7177282.0099999998</v>
      </c>
      <c r="I70" s="378">
        <f>SUM(G70:H70)</f>
        <v>12594508.109999999</v>
      </c>
      <c r="J70" s="376"/>
    </row>
    <row r="71" spans="1:10" ht="16.5">
      <c r="A71" s="373" t="s">
        <v>197</v>
      </c>
      <c r="B71" s="377">
        <v>855241.44</v>
      </c>
      <c r="C71" s="377">
        <v>569307.79</v>
      </c>
      <c r="D71" s="378">
        <f>SUM(B71:C71)</f>
        <v>1424549.23</v>
      </c>
      <c r="E71" s="374"/>
      <c r="F71" s="375" t="s">
        <v>198</v>
      </c>
      <c r="G71" s="377">
        <v>1909830.06</v>
      </c>
      <c r="H71" s="377">
        <v>1470009.85</v>
      </c>
      <c r="I71" s="378">
        <f>SUM(G71:H71)</f>
        <v>3379839.91</v>
      </c>
      <c r="J71" s="376"/>
    </row>
    <row r="72" spans="1:10" ht="16.5">
      <c r="A72" s="373" t="s">
        <v>199</v>
      </c>
      <c r="B72" s="377">
        <v>1047618.48</v>
      </c>
      <c r="C72" s="377">
        <v>865095.68000000005</v>
      </c>
      <c r="D72" s="378">
        <f>SUM(B72:C72)</f>
        <v>1912714.1600000001</v>
      </c>
      <c r="E72" s="374"/>
      <c r="F72" s="375" t="s">
        <v>200</v>
      </c>
      <c r="G72" s="377">
        <v>2433290.7999999998</v>
      </c>
      <c r="H72" s="377">
        <v>1903464.64</v>
      </c>
      <c r="I72" s="378">
        <f>SUM(G72:H72)</f>
        <v>4336755.4399999995</v>
      </c>
      <c r="J72" s="376"/>
    </row>
    <row r="73" spans="1:10" ht="16.5">
      <c r="A73" s="373" t="s">
        <v>201</v>
      </c>
      <c r="B73" s="377">
        <v>4752967.6799999997</v>
      </c>
      <c r="C73" s="377">
        <v>6133037.6399999997</v>
      </c>
      <c r="D73" s="378">
        <f>SUM(B73:C73)</f>
        <v>10886005.32</v>
      </c>
      <c r="E73" s="374"/>
      <c r="F73" s="375" t="s">
        <v>202</v>
      </c>
      <c r="G73" s="377">
        <v>27832637.039999999</v>
      </c>
      <c r="H73" s="377">
        <v>21530825.940000001</v>
      </c>
      <c r="I73" s="378">
        <f>SUM(G73:H73)</f>
        <v>49363462.980000004</v>
      </c>
      <c r="J73" s="376"/>
    </row>
    <row r="74" spans="1:10" ht="16.5">
      <c r="A74" s="373" t="s">
        <v>203</v>
      </c>
      <c r="B74" s="377">
        <v>4846368.0999999996</v>
      </c>
      <c r="C74" s="377">
        <v>3973854.8</v>
      </c>
      <c r="D74" s="378">
        <f>SUM(B74:C74)</f>
        <v>8820222.8999999985</v>
      </c>
      <c r="E74" s="374"/>
      <c r="F74" s="375" t="s">
        <v>204</v>
      </c>
      <c r="G74" s="377">
        <v>27070099.059999999</v>
      </c>
      <c r="H74" s="377">
        <v>29242893.879999999</v>
      </c>
      <c r="I74" s="378">
        <f>SUM(G74:H74)</f>
        <v>56312992.939999998</v>
      </c>
      <c r="J74" s="376"/>
    </row>
    <row r="75" spans="1:10" ht="11.1" customHeight="1">
      <c r="A75" s="373"/>
      <c r="B75" s="377"/>
      <c r="C75" s="377"/>
      <c r="D75" s="378"/>
      <c r="E75" s="375"/>
      <c r="G75" s="363"/>
      <c r="H75" s="363"/>
      <c r="I75" s="363"/>
    </row>
    <row r="76" spans="1:10" ht="16.5">
      <c r="A76" s="373" t="s">
        <v>205</v>
      </c>
      <c r="B76" s="377">
        <v>6053603.7599999998</v>
      </c>
      <c r="C76" s="377">
        <v>7387832.7000000002</v>
      </c>
      <c r="D76" s="378">
        <f>SUM(B76:C76)</f>
        <v>13441436.460000001</v>
      </c>
      <c r="E76" s="374"/>
      <c r="F76" s="375" t="s">
        <v>206</v>
      </c>
      <c r="G76" s="377">
        <v>670531.57999999996</v>
      </c>
      <c r="H76" s="377">
        <v>1917610.21</v>
      </c>
      <c r="I76" s="378">
        <f>SUM(G76:H76)</f>
        <v>2588141.79</v>
      </c>
      <c r="J76" s="376"/>
    </row>
    <row r="77" spans="1:10" ht="16.5">
      <c r="A77" s="373" t="s">
        <v>207</v>
      </c>
      <c r="B77" s="377">
        <v>1653327.36</v>
      </c>
      <c r="C77" s="377">
        <v>896499.08</v>
      </c>
      <c r="D77" s="378">
        <f>SUM(B77:C77)</f>
        <v>2549826.44</v>
      </c>
      <c r="E77" s="374"/>
      <c r="F77" s="375" t="s">
        <v>208</v>
      </c>
      <c r="G77" s="377">
        <v>3586856.08</v>
      </c>
      <c r="H77" s="377">
        <v>3665732.75</v>
      </c>
      <c r="I77" s="378">
        <f>SUM(G77:H77)</f>
        <v>7252588.8300000001</v>
      </c>
      <c r="J77" s="376"/>
    </row>
    <row r="78" spans="1:10" ht="16.5">
      <c r="A78" s="373" t="s">
        <v>209</v>
      </c>
      <c r="B78" s="377">
        <v>5474381.5800000001</v>
      </c>
      <c r="C78" s="377">
        <v>3200259.12</v>
      </c>
      <c r="D78" s="378">
        <f>SUM(B78:C78)</f>
        <v>8674640.6999999993</v>
      </c>
      <c r="E78" s="374"/>
      <c r="F78" s="375" t="s">
        <v>210</v>
      </c>
      <c r="G78" s="377">
        <v>1862432.84</v>
      </c>
      <c r="H78" s="377">
        <v>522402.45</v>
      </c>
      <c r="I78" s="378">
        <f>SUM(G78:H78)</f>
        <v>2384835.29</v>
      </c>
      <c r="J78" s="376"/>
    </row>
    <row r="79" spans="1:10" ht="16.5">
      <c r="A79" s="373" t="s">
        <v>211</v>
      </c>
      <c r="B79" s="377">
        <v>3533882.68</v>
      </c>
      <c r="C79" s="377">
        <v>3675587.6</v>
      </c>
      <c r="D79" s="378">
        <f>SUM(B79:C79)</f>
        <v>7209470.2800000003</v>
      </c>
      <c r="E79" s="374"/>
      <c r="F79" s="375" t="s">
        <v>212</v>
      </c>
      <c r="G79" s="377">
        <v>12494749.74</v>
      </c>
      <c r="H79" s="377">
        <v>6652236.0599999996</v>
      </c>
      <c r="I79" s="378">
        <f>SUM(G79:H79)</f>
        <v>19146985.800000001</v>
      </c>
      <c r="J79" s="376"/>
    </row>
    <row r="80" spans="1:10" ht="16.5">
      <c r="A80" s="373" t="s">
        <v>213</v>
      </c>
      <c r="B80" s="377">
        <v>11074923.48</v>
      </c>
      <c r="C80" s="377">
        <v>9358397.5</v>
      </c>
      <c r="D80" s="378">
        <f>SUM(B80:C80)</f>
        <v>20433320.98</v>
      </c>
      <c r="E80" s="374"/>
      <c r="F80" s="375" t="s">
        <v>214</v>
      </c>
      <c r="G80" s="377">
        <v>1073408.1599999999</v>
      </c>
      <c r="H80" s="377">
        <v>903641.5</v>
      </c>
      <c r="I80" s="378">
        <f>SUM(G80:H80)</f>
        <v>1977049.66</v>
      </c>
      <c r="J80" s="376"/>
    </row>
    <row r="81" spans="1:10" ht="11.1" customHeight="1">
      <c r="B81" s="363"/>
      <c r="C81" s="363"/>
      <c r="D81" s="363"/>
      <c r="E81" s="375"/>
      <c r="G81" s="363"/>
      <c r="H81" s="363"/>
      <c r="I81" s="363"/>
    </row>
    <row r="82" spans="1:10" ht="16.5">
      <c r="A82" s="392" t="s">
        <v>34</v>
      </c>
      <c r="B82" s="392">
        <f>SUM(B6:B46,G6:G46,B52:B80)</f>
        <v>737070347.60000014</v>
      </c>
      <c r="C82" s="392">
        <f>SUM(C6:C46,C52:C80,H6:H46)</f>
        <v>680247796.87</v>
      </c>
      <c r="D82" s="392">
        <f>SUM(G94:H94)</f>
        <v>1417318144.4700003</v>
      </c>
      <c r="E82" s="375"/>
      <c r="F82" s="375" t="s">
        <v>178</v>
      </c>
      <c r="G82" s="377">
        <v>24263903.440000001</v>
      </c>
      <c r="H82" s="377">
        <v>30173911.43</v>
      </c>
      <c r="I82" s="378">
        <f>SUM(G82:H82)</f>
        <v>54437814.870000005</v>
      </c>
      <c r="J82" s="376"/>
    </row>
    <row r="83" spans="1:10" ht="16.5">
      <c r="A83" s="375"/>
      <c r="B83" s="375"/>
      <c r="C83" s="375"/>
      <c r="D83" s="375"/>
      <c r="E83" s="375"/>
      <c r="F83" s="375" t="s">
        <v>37</v>
      </c>
      <c r="G83" s="377">
        <v>10945278.1</v>
      </c>
      <c r="H83" s="377">
        <v>18859839.510000002</v>
      </c>
      <c r="I83" s="378">
        <f>SUM(G83:H83)</f>
        <v>29805117.609999999</v>
      </c>
      <c r="J83" s="376"/>
    </row>
    <row r="84" spans="1:10" ht="17.25" thickBot="1">
      <c r="A84" s="373"/>
      <c r="B84" s="378"/>
      <c r="C84" s="378"/>
      <c r="D84" s="378"/>
      <c r="E84" s="375"/>
      <c r="F84" s="375" t="s">
        <v>215</v>
      </c>
      <c r="G84" s="377">
        <v>3041090.78</v>
      </c>
      <c r="H84" s="377">
        <v>5878806.4100000001</v>
      </c>
      <c r="I84" s="378">
        <f>SUM(G84:H84)</f>
        <v>8919897.1899999995</v>
      </c>
      <c r="J84" s="376"/>
    </row>
    <row r="85" spans="1:10" ht="16.5">
      <c r="A85" s="388"/>
      <c r="B85" s="367" t="s">
        <v>97</v>
      </c>
      <c r="C85" s="367" t="s">
        <v>76</v>
      </c>
      <c r="D85" s="367" t="s">
        <v>25</v>
      </c>
      <c r="E85" s="375"/>
      <c r="F85" s="375" t="s">
        <v>216</v>
      </c>
      <c r="G85" s="377">
        <v>2399833.94</v>
      </c>
      <c r="H85" s="377">
        <v>3576313.84</v>
      </c>
      <c r="I85" s="378">
        <f>SUM(G85:H85)</f>
        <v>5976147.7799999993</v>
      </c>
      <c r="J85" s="376"/>
    </row>
    <row r="86" spans="1:10" ht="16.5">
      <c r="A86" s="370" t="s">
        <v>35</v>
      </c>
      <c r="B86" s="371" t="s">
        <v>98</v>
      </c>
      <c r="C86" s="371" t="s">
        <v>85</v>
      </c>
      <c r="D86" s="371" t="s">
        <v>30</v>
      </c>
      <c r="E86" s="375"/>
      <c r="F86" s="375" t="s">
        <v>217</v>
      </c>
      <c r="G86" s="377">
        <v>13081639.140000001</v>
      </c>
      <c r="H86" s="377">
        <v>7886029.75</v>
      </c>
      <c r="I86" s="378">
        <f>SUM(G86:H86)</f>
        <v>20967668.890000001</v>
      </c>
      <c r="J86" s="376"/>
    </row>
    <row r="87" spans="1:10" ht="11.1" customHeight="1">
      <c r="B87" s="363"/>
      <c r="C87" s="363"/>
      <c r="D87" s="363"/>
      <c r="E87" s="375"/>
      <c r="G87" s="363"/>
      <c r="H87" s="363"/>
      <c r="I87" s="363"/>
    </row>
    <row r="88" spans="1:10" ht="16.5">
      <c r="A88" s="373" t="s">
        <v>218</v>
      </c>
      <c r="B88" s="390">
        <v>9130242.4800000004</v>
      </c>
      <c r="C88" s="390">
        <v>24877932.030000001</v>
      </c>
      <c r="D88" s="373">
        <f>SUM(B88:C88)</f>
        <v>34008174.510000005</v>
      </c>
      <c r="E88" s="374"/>
      <c r="F88" s="375" t="s">
        <v>38</v>
      </c>
      <c r="G88" s="377">
        <v>65409589.719999999</v>
      </c>
      <c r="H88" s="377">
        <v>53214889.149999999</v>
      </c>
      <c r="I88" s="378">
        <f>SUM(G88:H88)</f>
        <v>118624478.87</v>
      </c>
      <c r="J88" s="376"/>
    </row>
    <row r="89" spans="1:10" ht="16.5">
      <c r="A89" s="373" t="s">
        <v>117</v>
      </c>
      <c r="B89" s="377">
        <v>628710.48</v>
      </c>
      <c r="C89" s="377">
        <v>826423.43</v>
      </c>
      <c r="D89" s="378">
        <f>SUM(B89:C89)</f>
        <v>1455133.9100000001</v>
      </c>
      <c r="E89" s="374"/>
      <c r="F89" s="375" t="s">
        <v>219</v>
      </c>
      <c r="G89" s="377">
        <v>2687005.46</v>
      </c>
      <c r="H89" s="377">
        <v>4808752.16</v>
      </c>
      <c r="I89" s="378">
        <f>SUM(G89:H89)</f>
        <v>7495757.6200000001</v>
      </c>
      <c r="J89" s="376"/>
    </row>
    <row r="90" spans="1:10" ht="16.5">
      <c r="A90" s="373" t="s">
        <v>220</v>
      </c>
      <c r="B90" s="377">
        <v>2018564.98</v>
      </c>
      <c r="C90" s="377">
        <v>3930166.99</v>
      </c>
      <c r="D90" s="378">
        <f>SUM(B90:C90)</f>
        <v>5948731.9700000007</v>
      </c>
      <c r="E90" s="374"/>
      <c r="F90" s="375" t="s">
        <v>221</v>
      </c>
      <c r="G90" s="377">
        <v>774387.32</v>
      </c>
      <c r="H90" s="377">
        <v>4106059.49</v>
      </c>
      <c r="I90" s="378">
        <f>SUM(G90:H90)</f>
        <v>4880446.8100000005</v>
      </c>
      <c r="J90" s="376"/>
    </row>
    <row r="91" spans="1:10" ht="16.5">
      <c r="A91" s="373" t="s">
        <v>222</v>
      </c>
      <c r="B91" s="377">
        <v>738839.38</v>
      </c>
      <c r="C91" s="377">
        <v>375186.73</v>
      </c>
      <c r="D91" s="378">
        <f>SUM(B91:C91)</f>
        <v>1114026.1099999999</v>
      </c>
      <c r="E91" s="374"/>
      <c r="F91" s="375" t="s">
        <v>223</v>
      </c>
      <c r="G91" s="377">
        <v>3283653.12</v>
      </c>
      <c r="H91" s="377">
        <v>8482838.4299999997</v>
      </c>
      <c r="I91" s="378">
        <f>SUM(G91:H91)</f>
        <v>11766491.550000001</v>
      </c>
      <c r="J91" s="376"/>
    </row>
    <row r="92" spans="1:10" ht="16.5">
      <c r="A92" s="373" t="s">
        <v>224</v>
      </c>
      <c r="B92" s="377">
        <v>3769474.86</v>
      </c>
      <c r="C92" s="377">
        <v>9938328.8300000001</v>
      </c>
      <c r="D92" s="378">
        <f>SUM(B92:C92)</f>
        <v>13707803.689999999</v>
      </c>
      <c r="E92" s="374"/>
      <c r="G92" s="363"/>
      <c r="H92" s="363"/>
      <c r="I92" s="363"/>
    </row>
    <row r="93" spans="1:10">
      <c r="A93" s="393"/>
      <c r="B93" s="394"/>
      <c r="C93" s="394"/>
      <c r="D93" s="394"/>
      <c r="E93" s="393"/>
      <c r="F93" s="395" t="s">
        <v>39</v>
      </c>
      <c r="G93" s="392">
        <f>SUM(B88:B92,G52:G91)</f>
        <v>314293907.88</v>
      </c>
      <c r="H93" s="965">
        <f>SUM(C88:C92,H52:H91)</f>
        <v>372274126.28000003</v>
      </c>
      <c r="I93" s="392">
        <f>SUM(G93:H93)</f>
        <v>686568034.16000009</v>
      </c>
    </row>
    <row r="94" spans="1:10">
      <c r="A94" s="387"/>
      <c r="B94" s="386"/>
      <c r="C94" s="386"/>
      <c r="D94" s="386"/>
      <c r="E94" s="387"/>
      <c r="F94" s="372" t="s">
        <v>34</v>
      </c>
      <c r="G94" s="372">
        <f>SUM(B6:B46,G6:G46,B52:B80)</f>
        <v>737070347.60000014</v>
      </c>
      <c r="H94" s="372">
        <f>SUM(C6:C46,C52:C80,H6:H46)</f>
        <v>680247796.87</v>
      </c>
      <c r="I94" s="372">
        <f>SUM(G94:H94)</f>
        <v>1417318144.4700003</v>
      </c>
    </row>
    <row r="95" spans="1:10" ht="11.1" customHeight="1">
      <c r="A95" s="387"/>
      <c r="B95" s="386"/>
      <c r="C95" s="386"/>
      <c r="D95" s="386"/>
      <c r="E95" s="387"/>
      <c r="G95" s="363"/>
      <c r="H95" s="363"/>
      <c r="I95" s="363"/>
    </row>
    <row r="96" spans="1:10">
      <c r="A96" s="387"/>
      <c r="B96" s="386"/>
      <c r="C96" s="386"/>
      <c r="D96" s="386"/>
      <c r="E96" s="387"/>
      <c r="F96" s="395" t="s">
        <v>40</v>
      </c>
      <c r="G96" s="392">
        <f>SUM(G93:G94)</f>
        <v>1051364255.4800001</v>
      </c>
      <c r="H96" s="392">
        <f>SUM(H93:H94)</f>
        <v>1052521923.1500001</v>
      </c>
      <c r="I96" s="392">
        <f>SUM(I93:I94)</f>
        <v>2103886178.6300004</v>
      </c>
    </row>
    <row r="97" spans="1:9">
      <c r="A97" s="387"/>
      <c r="B97" s="386"/>
      <c r="C97" s="386"/>
      <c r="D97" s="386"/>
      <c r="E97" s="387"/>
      <c r="F97" s="387"/>
      <c r="G97" s="386"/>
      <c r="H97" s="386"/>
      <c r="I97" s="386"/>
    </row>
    <row r="98" spans="1:9">
      <c r="A98" s="387"/>
      <c r="B98" s="386"/>
      <c r="C98" s="386"/>
      <c r="D98" s="386"/>
      <c r="E98" s="387"/>
      <c r="F98" s="387"/>
      <c r="G98" s="386"/>
      <c r="H98" s="386"/>
      <c r="I98" s="386"/>
    </row>
    <row r="99" spans="1:9">
      <c r="A99" s="387"/>
      <c r="B99" s="386"/>
      <c r="C99" s="386"/>
      <c r="D99" s="386"/>
      <c r="E99" s="387"/>
      <c r="F99" s="387"/>
      <c r="G99" s="386"/>
      <c r="H99" s="386"/>
      <c r="I99" s="386"/>
    </row>
    <row r="100" spans="1:9">
      <c r="A100" s="387"/>
      <c r="B100" s="386"/>
      <c r="C100" s="386"/>
      <c r="D100" s="386"/>
      <c r="E100" s="387"/>
      <c r="F100" s="387"/>
      <c r="G100" s="386"/>
      <c r="H100" s="386"/>
      <c r="I100" s="386"/>
    </row>
    <row r="101" spans="1:9">
      <c r="A101" s="387"/>
      <c r="B101" s="386"/>
      <c r="C101" s="386"/>
      <c r="D101" s="386"/>
      <c r="E101" s="387"/>
      <c r="F101" s="387"/>
      <c r="G101" s="386"/>
      <c r="H101" s="386"/>
      <c r="I101" s="386"/>
    </row>
    <row r="102" spans="1:9">
      <c r="A102" s="387"/>
      <c r="B102" s="386"/>
      <c r="C102" s="386"/>
      <c r="D102" s="386"/>
      <c r="E102" s="387"/>
      <c r="F102" s="387"/>
      <c r="G102" s="386"/>
      <c r="H102" s="386"/>
      <c r="I102" s="386"/>
    </row>
    <row r="103" spans="1:9">
      <c r="A103" s="387"/>
      <c r="B103" s="386"/>
      <c r="C103" s="386"/>
      <c r="D103" s="386"/>
      <c r="E103" s="387"/>
      <c r="F103" s="387"/>
      <c r="G103" s="386"/>
      <c r="H103" s="386"/>
      <c r="I103" s="386"/>
    </row>
    <row r="104" spans="1:9">
      <c r="A104" s="387"/>
      <c r="B104" s="386"/>
      <c r="C104" s="386"/>
      <c r="D104" s="386"/>
      <c r="E104" s="387"/>
      <c r="F104" s="387"/>
      <c r="G104" s="386"/>
      <c r="H104" s="386"/>
      <c r="I104" s="386"/>
    </row>
    <row r="105" spans="1:9">
      <c r="A105" s="387"/>
      <c r="B105" s="386"/>
      <c r="C105" s="386"/>
      <c r="D105" s="386"/>
      <c r="E105" s="387"/>
      <c r="F105" s="387"/>
      <c r="G105" s="386"/>
      <c r="H105" s="386"/>
      <c r="I105" s="386"/>
    </row>
    <row r="106" spans="1:9">
      <c r="A106" s="387"/>
      <c r="B106" s="386"/>
      <c r="C106" s="386"/>
      <c r="D106" s="386"/>
      <c r="E106" s="387"/>
      <c r="F106" s="387"/>
      <c r="G106" s="386"/>
      <c r="H106" s="386"/>
      <c r="I106" s="386"/>
    </row>
    <row r="107" spans="1:9">
      <c r="A107" s="387"/>
      <c r="B107" s="386"/>
      <c r="C107" s="386"/>
      <c r="D107" s="386"/>
      <c r="E107" s="387"/>
      <c r="F107" s="387"/>
      <c r="G107" s="386"/>
      <c r="H107" s="386"/>
      <c r="I107" s="386"/>
    </row>
    <row r="108" spans="1:9">
      <c r="F108" s="387"/>
      <c r="G108" s="386"/>
      <c r="H108" s="386"/>
      <c r="I108" s="386"/>
    </row>
    <row r="109" spans="1:9">
      <c r="F109" s="387"/>
      <c r="G109" s="386"/>
      <c r="H109" s="386"/>
      <c r="I109" s="386"/>
    </row>
  </sheetData>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1"/>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sheetPr codeName="Sheet1"/>
  <dimension ref="A1:E50"/>
  <sheetViews>
    <sheetView zoomScaleNormal="100" workbookViewId="0">
      <selection activeCell="C19" sqref="C19"/>
    </sheetView>
  </sheetViews>
  <sheetFormatPr defaultColWidth="9.140625" defaultRowHeight="12"/>
  <cols>
    <col min="1" max="1" width="7.42578125" style="693" customWidth="1"/>
    <col min="2" max="2" width="88.85546875" style="693" customWidth="1"/>
    <col min="3" max="3" width="4.42578125" style="693" customWidth="1"/>
    <col min="4" max="4" width="4.7109375" style="693" customWidth="1"/>
    <col min="5" max="5" width="5.28515625" style="693" customWidth="1"/>
    <col min="6" max="16384" width="9.140625" style="693"/>
  </cols>
  <sheetData>
    <row r="1" spans="1:5" s="692" customFormat="1" ht="12.75">
      <c r="A1" s="691" t="s">
        <v>1000</v>
      </c>
    </row>
    <row r="2" spans="1:5" ht="11.25" customHeight="1"/>
    <row r="3" spans="1:5" ht="10.5" customHeight="1"/>
    <row r="4" spans="1:5" ht="12.75">
      <c r="A4" s="694" t="s">
        <v>1001</v>
      </c>
    </row>
    <row r="5" spans="1:5">
      <c r="B5" s="693" t="s">
        <v>1002</v>
      </c>
      <c r="E5" s="693">
        <v>1</v>
      </c>
    </row>
    <row r="6" spans="1:5">
      <c r="B6" s="693" t="s">
        <v>1003</v>
      </c>
      <c r="E6" s="693">
        <v>2</v>
      </c>
    </row>
    <row r="7" spans="1:5" ht="10.5" customHeight="1"/>
    <row r="8" spans="1:5" ht="12.75">
      <c r="A8" s="694" t="s">
        <v>4</v>
      </c>
    </row>
    <row r="9" spans="1:5">
      <c r="A9" s="693">
        <v>1.1000000000000001</v>
      </c>
      <c r="B9" s="693" t="s">
        <v>1004</v>
      </c>
      <c r="E9" s="693">
        <v>3</v>
      </c>
    </row>
    <row r="10" spans="1:5">
      <c r="A10" s="693">
        <v>1.2</v>
      </c>
      <c r="B10" s="693" t="s">
        <v>1005</v>
      </c>
      <c r="E10" s="693">
        <v>4</v>
      </c>
    </row>
    <row r="11" spans="1:5">
      <c r="A11" s="693">
        <v>1.3</v>
      </c>
      <c r="B11" s="693" t="s">
        <v>1006</v>
      </c>
      <c r="E11" s="693">
        <v>5</v>
      </c>
    </row>
    <row r="12" spans="1:5">
      <c r="A12" s="693">
        <v>1.4</v>
      </c>
      <c r="B12" s="693" t="s">
        <v>1007</v>
      </c>
      <c r="E12" s="693">
        <v>6</v>
      </c>
    </row>
    <row r="13" spans="1:5">
      <c r="A13" s="693">
        <v>1.5</v>
      </c>
      <c r="B13" s="693" t="s">
        <v>1008</v>
      </c>
      <c r="E13" s="693">
        <v>7</v>
      </c>
    </row>
    <row r="14" spans="1:5">
      <c r="A14" s="693">
        <v>1.6</v>
      </c>
      <c r="B14" s="693" t="s">
        <v>1009</v>
      </c>
      <c r="E14" s="693">
        <v>12</v>
      </c>
    </row>
    <row r="15" spans="1:5">
      <c r="A15" s="695">
        <v>1.7</v>
      </c>
      <c r="B15" s="693" t="s">
        <v>1010</v>
      </c>
      <c r="E15" s="693">
        <v>17</v>
      </c>
    </row>
    <row r="16" spans="1:5">
      <c r="A16" s="695">
        <v>1.8</v>
      </c>
      <c r="B16" s="693" t="s">
        <v>1011</v>
      </c>
      <c r="E16" s="693">
        <v>22</v>
      </c>
    </row>
    <row r="17" spans="1:5">
      <c r="A17" s="696">
        <v>1.9</v>
      </c>
      <c r="B17" s="693" t="s">
        <v>1012</v>
      </c>
      <c r="E17" s="693">
        <v>22</v>
      </c>
    </row>
    <row r="18" spans="1:5">
      <c r="A18" s="695" t="s">
        <v>1013</v>
      </c>
      <c r="B18" s="693" t="s">
        <v>1014</v>
      </c>
      <c r="E18" s="693">
        <v>23</v>
      </c>
    </row>
    <row r="19" spans="1:5" ht="10.5" customHeight="1"/>
    <row r="20" spans="1:5" ht="12.75">
      <c r="A20" s="694" t="s">
        <v>1015</v>
      </c>
    </row>
    <row r="21" spans="1:5">
      <c r="A21" s="693">
        <v>2.1</v>
      </c>
      <c r="B21" s="693" t="s">
        <v>1016</v>
      </c>
      <c r="E21" s="693">
        <v>24</v>
      </c>
    </row>
    <row r="22" spans="1:5">
      <c r="A22" s="693">
        <v>2.2000000000000002</v>
      </c>
      <c r="B22" s="693" t="s">
        <v>1017</v>
      </c>
      <c r="E22" s="693">
        <v>25</v>
      </c>
    </row>
    <row r="23" spans="1:5" ht="10.5" customHeight="1"/>
    <row r="24" spans="1:5" ht="13.15" customHeight="1">
      <c r="A24" s="694" t="s">
        <v>1018</v>
      </c>
    </row>
    <row r="25" spans="1:5" ht="10.5" customHeight="1">
      <c r="A25" s="693">
        <v>3.1</v>
      </c>
      <c r="B25" s="693" t="s">
        <v>1019</v>
      </c>
      <c r="E25" s="693">
        <v>26</v>
      </c>
    </row>
    <row r="26" spans="1:5" ht="10.5" customHeight="1"/>
    <row r="27" spans="1:5" ht="12.75">
      <c r="A27" s="694" t="s">
        <v>3</v>
      </c>
    </row>
    <row r="28" spans="1:5">
      <c r="A28" s="693">
        <v>4.0999999999999996</v>
      </c>
      <c r="B28" s="693" t="s">
        <v>1020</v>
      </c>
      <c r="E28" s="693">
        <v>27</v>
      </c>
    </row>
    <row r="29" spans="1:5">
      <c r="A29" s="695" t="s">
        <v>1021</v>
      </c>
      <c r="B29" s="693" t="s">
        <v>1022</v>
      </c>
      <c r="E29" s="693">
        <v>28</v>
      </c>
    </row>
    <row r="30" spans="1:5">
      <c r="A30" s="695" t="s">
        <v>1023</v>
      </c>
      <c r="B30" s="693" t="s">
        <v>1024</v>
      </c>
      <c r="E30" s="693">
        <v>29</v>
      </c>
    </row>
    <row r="31" spans="1:5">
      <c r="A31" s="695" t="s">
        <v>1025</v>
      </c>
      <c r="B31" s="693" t="s">
        <v>1026</v>
      </c>
      <c r="E31" s="693">
        <v>31</v>
      </c>
    </row>
    <row r="32" spans="1:5" ht="10.5" customHeight="1"/>
    <row r="33" spans="1:5" ht="12.75">
      <c r="A33" s="694" t="s">
        <v>1027</v>
      </c>
    </row>
    <row r="34" spans="1:5">
      <c r="A34" s="693">
        <v>5.0999999999999996</v>
      </c>
      <c r="B34" s="693" t="s">
        <v>1028</v>
      </c>
      <c r="E34" s="693">
        <v>32</v>
      </c>
    </row>
    <row r="35" spans="1:5">
      <c r="A35" s="693">
        <v>5.2</v>
      </c>
      <c r="B35" s="693" t="s">
        <v>1029</v>
      </c>
      <c r="E35" s="693">
        <v>33</v>
      </c>
    </row>
    <row r="36" spans="1:5">
      <c r="A36" s="695" t="s">
        <v>1030</v>
      </c>
      <c r="B36" s="693" t="s">
        <v>1031</v>
      </c>
      <c r="E36" s="693">
        <v>35</v>
      </c>
    </row>
    <row r="37" spans="1:5">
      <c r="A37" s="695" t="s">
        <v>1032</v>
      </c>
      <c r="B37" s="693" t="s">
        <v>1033</v>
      </c>
      <c r="E37" s="693">
        <v>35</v>
      </c>
    </row>
    <row r="38" spans="1:5">
      <c r="A38" s="695" t="s">
        <v>1034</v>
      </c>
      <c r="B38" s="693" t="s">
        <v>1035</v>
      </c>
      <c r="E38" s="693">
        <v>36</v>
      </c>
    </row>
    <row r="39" spans="1:5">
      <c r="A39" s="695" t="s">
        <v>1036</v>
      </c>
      <c r="B39" s="693" t="s">
        <v>1037</v>
      </c>
      <c r="E39" s="693">
        <v>41</v>
      </c>
    </row>
    <row r="40" spans="1:5" ht="10.5" customHeight="1"/>
    <row r="41" spans="1:5" ht="12.75">
      <c r="A41" s="694" t="s">
        <v>1038</v>
      </c>
    </row>
    <row r="42" spans="1:5">
      <c r="A42" s="693">
        <v>6.1</v>
      </c>
      <c r="B42" s="693" t="s">
        <v>1039</v>
      </c>
      <c r="E42" s="693">
        <v>43</v>
      </c>
    </row>
    <row r="43" spans="1:5">
      <c r="A43" s="693">
        <v>6.2</v>
      </c>
      <c r="B43" s="693" t="s">
        <v>1040</v>
      </c>
      <c r="E43" s="693">
        <v>44</v>
      </c>
    </row>
    <row r="44" spans="1:5">
      <c r="A44" s="693">
        <v>6.3</v>
      </c>
      <c r="B44" s="693" t="s">
        <v>1041</v>
      </c>
      <c r="E44" s="693">
        <v>49</v>
      </c>
    </row>
    <row r="45" spans="1:5">
      <c r="A45" s="693">
        <v>6.4</v>
      </c>
      <c r="B45" s="693" t="s">
        <v>1042</v>
      </c>
      <c r="E45" s="693">
        <v>54</v>
      </c>
    </row>
    <row r="46" spans="1:5" ht="10.5" customHeight="1"/>
    <row r="47" spans="1:5" ht="12.75">
      <c r="A47" s="991" t="s">
        <v>1091</v>
      </c>
      <c r="B47" s="992"/>
      <c r="C47" s="992"/>
      <c r="D47" s="992"/>
      <c r="E47" s="992"/>
    </row>
    <row r="48" spans="1:5" ht="10.5" customHeight="1">
      <c r="A48" s="992">
        <v>7.1</v>
      </c>
      <c r="B48" s="992" t="s">
        <v>1092</v>
      </c>
      <c r="C48" s="992"/>
      <c r="D48" s="992"/>
      <c r="E48" s="992">
        <v>59</v>
      </c>
    </row>
    <row r="49" spans="1:5" ht="10.5" customHeight="1"/>
    <row r="50" spans="1:5" ht="12.75">
      <c r="A50" s="694" t="s">
        <v>381</v>
      </c>
      <c r="E50" s="693">
        <v>60</v>
      </c>
    </row>
  </sheetData>
  <printOptions horizontalCentered="1"/>
  <pageMargins left="0.5" right="0.5" top="0.5" bottom="0.75" header="0.5" footer="0.5"/>
  <pageSetup scale="91" orientation="landscape" r:id="rId1"/>
  <headerFooter alignWithMargins="0"/>
  <ignoredErrors>
    <ignoredError sqref="A18 A36:A39 A29:A31" numberStoredAsText="1"/>
  </ignoredErrors>
</worksheet>
</file>

<file path=xl/worksheets/sheet20.xml><?xml version="1.0" encoding="utf-8"?>
<worksheet xmlns="http://schemas.openxmlformats.org/spreadsheetml/2006/main" xmlns:r="http://schemas.openxmlformats.org/officeDocument/2006/relationships">
  <sheetPr codeName="Sheet20">
    <pageSetUpPr fitToPage="1"/>
  </sheetPr>
  <dimension ref="A1:P29"/>
  <sheetViews>
    <sheetView zoomScaleNormal="100" workbookViewId="0">
      <selection activeCell="C19" sqref="C19"/>
    </sheetView>
  </sheetViews>
  <sheetFormatPr defaultColWidth="8.85546875" defaultRowHeight="12.75"/>
  <cols>
    <col min="1" max="1" width="25.7109375" style="818" bestFit="1" customWidth="1"/>
    <col min="2" max="4" width="11.140625" style="818" bestFit="1" customWidth="1"/>
    <col min="5" max="5" width="11.140625" style="818" customWidth="1"/>
    <col min="6" max="6" width="10.85546875" style="818" bestFit="1" customWidth="1"/>
    <col min="7" max="7" width="8.85546875" style="818"/>
    <col min="8" max="8" width="9.28515625" style="818" bestFit="1" customWidth="1"/>
    <col min="9" max="16384" width="8.85546875" style="818"/>
  </cols>
  <sheetData>
    <row r="1" spans="1:10" ht="18">
      <c r="A1" s="816" t="s">
        <v>375</v>
      </c>
      <c r="B1" s="817"/>
      <c r="C1" s="817"/>
      <c r="D1" s="817"/>
      <c r="E1" s="817"/>
      <c r="F1" s="817"/>
    </row>
    <row r="2" spans="1:10">
      <c r="A2" s="819" t="s">
        <v>225</v>
      </c>
      <c r="B2" s="817"/>
      <c r="C2" s="817"/>
      <c r="D2" s="817"/>
      <c r="E2" s="817"/>
      <c r="F2" s="817"/>
    </row>
    <row r="3" spans="1:10" ht="13.5" thickBot="1"/>
    <row r="4" spans="1:10">
      <c r="A4" s="820" t="s">
        <v>226</v>
      </c>
      <c r="B4" s="821" t="s">
        <v>227</v>
      </c>
      <c r="C4" s="821" t="s">
        <v>6</v>
      </c>
      <c r="D4" s="821" t="s">
        <v>9</v>
      </c>
      <c r="E4" s="821" t="s">
        <v>440</v>
      </c>
      <c r="F4" s="821" t="s">
        <v>1061</v>
      </c>
    </row>
    <row r="5" spans="1:10">
      <c r="A5" s="822"/>
      <c r="B5" s="150"/>
      <c r="C5" s="150"/>
      <c r="D5" s="823"/>
      <c r="E5" s="823"/>
    </row>
    <row r="6" spans="1:10">
      <c r="A6" s="822" t="s">
        <v>228</v>
      </c>
      <c r="B6" s="824">
        <v>3738090.26</v>
      </c>
      <c r="C6" s="824">
        <v>3310687.66</v>
      </c>
      <c r="D6" s="824">
        <v>3116089.15</v>
      </c>
      <c r="E6" s="824">
        <v>3919086.0599999996</v>
      </c>
      <c r="F6" s="824">
        <v>3948027.43</v>
      </c>
      <c r="G6" s="825"/>
      <c r="H6" s="826"/>
      <c r="I6" s="826"/>
      <c r="J6" s="826"/>
    </row>
    <row r="7" spans="1:10">
      <c r="A7" s="822" t="s">
        <v>229</v>
      </c>
      <c r="B7" s="827">
        <v>24853138.280000001</v>
      </c>
      <c r="C7" s="827">
        <v>21161192.670000002</v>
      </c>
      <c r="D7" s="827">
        <v>20238696.34</v>
      </c>
      <c r="E7" s="827">
        <v>22908710.459999997</v>
      </c>
      <c r="F7" s="827">
        <v>26596033.450000003</v>
      </c>
      <c r="G7" s="825"/>
      <c r="H7" s="826"/>
      <c r="I7" s="826"/>
      <c r="J7" s="826"/>
    </row>
    <row r="8" spans="1:10">
      <c r="A8" s="822" t="s">
        <v>230</v>
      </c>
      <c r="B8" s="827">
        <v>9266845.8499999996</v>
      </c>
      <c r="C8" s="827">
        <v>8185362.830000001</v>
      </c>
      <c r="D8" s="827">
        <v>7910011.1400000006</v>
      </c>
      <c r="E8" s="827">
        <v>9464579.2700000014</v>
      </c>
      <c r="F8" s="827">
        <v>10427164.9</v>
      </c>
      <c r="G8" s="825"/>
      <c r="H8" s="826"/>
      <c r="I8" s="826"/>
      <c r="J8" s="826"/>
    </row>
    <row r="9" spans="1:10">
      <c r="A9" s="822" t="s">
        <v>231</v>
      </c>
      <c r="B9" s="827">
        <v>2793989.77</v>
      </c>
      <c r="C9" s="827">
        <v>2361610.98</v>
      </c>
      <c r="D9" s="827">
        <v>2638904.17</v>
      </c>
      <c r="E9" s="827">
        <v>3260035.48</v>
      </c>
      <c r="F9" s="827">
        <v>3079060.31</v>
      </c>
      <c r="G9" s="825"/>
      <c r="H9" s="826"/>
      <c r="I9" s="826"/>
      <c r="J9" s="826"/>
    </row>
    <row r="10" spans="1:10">
      <c r="A10" s="822" t="s">
        <v>232</v>
      </c>
      <c r="B10" s="827">
        <v>1307129.79</v>
      </c>
      <c r="C10" s="827">
        <v>1108262.8700000001</v>
      </c>
      <c r="D10" s="827">
        <v>1656956.7</v>
      </c>
      <c r="E10" s="827">
        <v>2467877.7999999998</v>
      </c>
      <c r="F10" s="827">
        <v>2561784.73</v>
      </c>
      <c r="G10" s="825"/>
      <c r="H10" s="826"/>
      <c r="I10" s="826"/>
      <c r="J10" s="826"/>
    </row>
    <row r="11" spans="1:10">
      <c r="A11" s="822" t="s">
        <v>233</v>
      </c>
      <c r="B11" s="827">
        <v>433480.27</v>
      </c>
      <c r="C11" s="827">
        <v>330402.42</v>
      </c>
      <c r="D11" s="827">
        <v>558849.47</v>
      </c>
      <c r="E11" s="827">
        <v>1002005.3900000001</v>
      </c>
      <c r="F11" s="827">
        <v>522204.22</v>
      </c>
      <c r="G11" s="825"/>
      <c r="H11" s="826"/>
      <c r="I11" s="826"/>
      <c r="J11" s="826"/>
    </row>
    <row r="12" spans="1:10">
      <c r="A12" s="828" t="s">
        <v>234</v>
      </c>
      <c r="B12" s="829"/>
      <c r="C12" s="829"/>
      <c r="D12" s="829"/>
      <c r="E12" s="829"/>
      <c r="F12" s="829"/>
    </row>
    <row r="13" spans="1:10">
      <c r="A13" s="830" t="s">
        <v>235</v>
      </c>
      <c r="B13" s="831">
        <v>42392674.220000006</v>
      </c>
      <c r="C13" s="831">
        <v>36457519.43</v>
      </c>
      <c r="D13" s="831">
        <v>36119506.969999999</v>
      </c>
      <c r="E13" s="831">
        <v>43022294.459999993</v>
      </c>
      <c r="F13" s="831">
        <f>SUM(F6:F11)</f>
        <v>47134275.039999999</v>
      </c>
      <c r="G13" s="826"/>
      <c r="H13" s="826"/>
      <c r="I13" s="826"/>
      <c r="J13" s="826"/>
    </row>
    <row r="14" spans="1:10">
      <c r="A14" s="822"/>
      <c r="B14" s="150"/>
      <c r="C14" s="150"/>
      <c r="D14" s="823"/>
      <c r="E14" s="823"/>
      <c r="F14" s="823"/>
      <c r="G14" s="826"/>
      <c r="H14" s="826"/>
      <c r="I14" s="826"/>
      <c r="J14" s="826"/>
    </row>
    <row r="15" spans="1:10">
      <c r="A15" s="822" t="s">
        <v>236</v>
      </c>
      <c r="B15" s="832">
        <v>13293562.459999999</v>
      </c>
      <c r="C15" s="832">
        <v>11784557.789999999</v>
      </c>
      <c r="D15" s="824">
        <v>11543386.120000001</v>
      </c>
      <c r="E15" s="824">
        <v>13749156.109999998</v>
      </c>
      <c r="F15" s="824">
        <v>16500996.119999999</v>
      </c>
      <c r="G15" s="825"/>
      <c r="H15" s="826"/>
      <c r="I15" s="826"/>
      <c r="J15" s="826"/>
    </row>
    <row r="16" spans="1:10">
      <c r="A16" s="822" t="s">
        <v>237</v>
      </c>
      <c r="B16" s="833">
        <v>4502860.76</v>
      </c>
      <c r="C16" s="833">
        <v>3768232.82</v>
      </c>
      <c r="D16" s="827">
        <v>3926165.6</v>
      </c>
      <c r="E16" s="827">
        <v>5011443.32</v>
      </c>
      <c r="F16" s="827">
        <v>5695304.9799999986</v>
      </c>
      <c r="G16" s="825"/>
      <c r="H16" s="826"/>
      <c r="I16" s="826"/>
      <c r="J16" s="826"/>
    </row>
    <row r="17" spans="1:16">
      <c r="A17" s="822" t="s">
        <v>238</v>
      </c>
      <c r="B17" s="833">
        <v>1610257.95</v>
      </c>
      <c r="C17" s="833">
        <v>1379537.37</v>
      </c>
      <c r="D17" s="827">
        <v>1322784.47</v>
      </c>
      <c r="E17" s="827">
        <v>1873488.0199999998</v>
      </c>
      <c r="F17" s="827">
        <v>2090679.3600000003</v>
      </c>
      <c r="G17" s="825"/>
      <c r="H17" s="826"/>
      <c r="I17" s="826"/>
      <c r="J17" s="826"/>
    </row>
    <row r="18" spans="1:16">
      <c r="A18" s="822" t="s">
        <v>239</v>
      </c>
      <c r="B18" s="833">
        <v>1712072.25</v>
      </c>
      <c r="C18" s="833">
        <v>1413530.39</v>
      </c>
      <c r="D18" s="827">
        <v>1727327.25</v>
      </c>
      <c r="E18" s="827">
        <v>2024665.13</v>
      </c>
      <c r="F18" s="827">
        <v>1899917.8500000003</v>
      </c>
      <c r="G18" s="825"/>
      <c r="H18" s="826"/>
      <c r="I18" s="826"/>
      <c r="J18" s="826"/>
    </row>
    <row r="19" spans="1:16">
      <c r="A19" s="822" t="s">
        <v>240</v>
      </c>
      <c r="B19" s="833">
        <v>949671.72</v>
      </c>
      <c r="C19" s="833">
        <v>948388.28</v>
      </c>
      <c r="D19" s="833">
        <v>703088.1</v>
      </c>
      <c r="E19" s="827">
        <v>689391.67999999993</v>
      </c>
      <c r="F19" s="827">
        <v>1006995.4800000001</v>
      </c>
      <c r="G19" s="825"/>
      <c r="H19" s="826"/>
      <c r="I19" s="826"/>
      <c r="J19" s="826"/>
    </row>
    <row r="20" spans="1:16">
      <c r="A20" s="822" t="s">
        <v>241</v>
      </c>
      <c r="B20" s="834" t="s">
        <v>242</v>
      </c>
      <c r="C20" s="834" t="s">
        <v>242</v>
      </c>
      <c r="D20" s="834">
        <v>928906.23999999999</v>
      </c>
      <c r="E20" s="834">
        <v>3152620.57</v>
      </c>
      <c r="F20" s="827">
        <v>4022495.59</v>
      </c>
      <c r="G20" s="825"/>
      <c r="H20" s="826"/>
      <c r="I20" s="826"/>
      <c r="J20" s="826"/>
    </row>
    <row r="21" spans="1:16">
      <c r="A21" s="828" t="s">
        <v>243</v>
      </c>
      <c r="B21" s="835"/>
      <c r="C21" s="835"/>
      <c r="D21" s="835"/>
      <c r="E21" s="835"/>
      <c r="F21" s="835"/>
      <c r="G21" s="826"/>
      <c r="H21" s="826"/>
      <c r="I21" s="826"/>
      <c r="J21" s="826"/>
    </row>
    <row r="22" spans="1:16">
      <c r="A22" s="830" t="s">
        <v>235</v>
      </c>
      <c r="B22" s="831">
        <v>22068425.139999997</v>
      </c>
      <c r="C22" s="831">
        <v>19294246.650000002</v>
      </c>
      <c r="D22" s="831">
        <v>20151657.780000001</v>
      </c>
      <c r="E22" s="831">
        <v>26500764.829999998</v>
      </c>
      <c r="F22" s="831">
        <f>SUM(F15:F20)</f>
        <v>31216389.379999999</v>
      </c>
      <c r="G22" s="826"/>
      <c r="H22" s="826"/>
      <c r="I22" s="826"/>
      <c r="J22" s="826"/>
    </row>
    <row r="23" spans="1:16">
      <c r="A23" s="836"/>
      <c r="B23" s="837"/>
      <c r="C23" s="837"/>
      <c r="D23" s="823"/>
      <c r="E23" s="823"/>
      <c r="F23" s="823"/>
    </row>
    <row r="24" spans="1:16">
      <c r="A24" s="838" t="s">
        <v>40</v>
      </c>
      <c r="B24" s="837">
        <v>64461099.359999999</v>
      </c>
      <c r="C24" s="837">
        <v>55751766.079999998</v>
      </c>
      <c r="D24" s="837">
        <v>56271164.75</v>
      </c>
      <c r="E24" s="837">
        <v>69523059.289999992</v>
      </c>
      <c r="F24" s="837">
        <f>F13+F22</f>
        <v>78350664.420000002</v>
      </c>
      <c r="H24" s="839"/>
      <c r="I24" s="840"/>
      <c r="J24" s="841"/>
      <c r="L24" s="826"/>
      <c r="M24" s="826"/>
      <c r="N24" s="826"/>
      <c r="O24" s="826"/>
      <c r="P24" s="826"/>
    </row>
    <row r="25" spans="1:16">
      <c r="A25" s="823"/>
      <c r="B25" s="823"/>
      <c r="C25" s="823"/>
      <c r="D25" s="823"/>
      <c r="E25" s="823"/>
      <c r="F25" s="823"/>
      <c r="I25" s="842">
        <v>2007</v>
      </c>
      <c r="J25" s="843">
        <f>B13/1000000</f>
        <v>42.392674220000004</v>
      </c>
      <c r="K25" s="844">
        <f>B22/1000000</f>
        <v>22.068425139999995</v>
      </c>
    </row>
    <row r="26" spans="1:16" ht="12.75" customHeight="1">
      <c r="A26" s="1066" t="s">
        <v>802</v>
      </c>
      <c r="B26" s="1066"/>
      <c r="C26" s="1066"/>
      <c r="D26" s="1066"/>
      <c r="E26" s="1066"/>
      <c r="F26" s="1066"/>
      <c r="I26" s="842">
        <v>2008</v>
      </c>
      <c r="J26" s="843">
        <f>C13/1000000</f>
        <v>36.457519429999998</v>
      </c>
      <c r="K26" s="844">
        <f>C22/1000000</f>
        <v>19.294246650000002</v>
      </c>
    </row>
    <row r="27" spans="1:16">
      <c r="A27" s="1066"/>
      <c r="B27" s="1066"/>
      <c r="C27" s="1066"/>
      <c r="D27" s="1066"/>
      <c r="E27" s="1066"/>
      <c r="F27" s="1066"/>
      <c r="I27" s="842">
        <v>2009</v>
      </c>
      <c r="J27" s="843">
        <f>D13/1000000</f>
        <v>36.119506969999996</v>
      </c>
      <c r="K27" s="844">
        <f>D22/1000000</f>
        <v>20.151657780000001</v>
      </c>
    </row>
    <row r="28" spans="1:16">
      <c r="A28" s="1066"/>
      <c r="B28" s="1066"/>
      <c r="C28" s="1066"/>
      <c r="D28" s="1066"/>
      <c r="E28" s="1066"/>
      <c r="F28" s="1066"/>
      <c r="I28" s="842">
        <v>2010</v>
      </c>
      <c r="J28" s="843">
        <f>E13/1000000</f>
        <v>43.022294459999991</v>
      </c>
      <c r="K28" s="844">
        <f>E22/1000000</f>
        <v>26.500764829999998</v>
      </c>
    </row>
    <row r="29" spans="1:16">
      <c r="A29" s="1066"/>
      <c r="B29" s="1066"/>
      <c r="C29" s="1066"/>
      <c r="D29" s="1066"/>
      <c r="E29" s="1066"/>
      <c r="F29" s="1066"/>
      <c r="I29" s="842">
        <v>2011</v>
      </c>
      <c r="J29" s="843">
        <f>F13/1000000</f>
        <v>47.134275039999999</v>
      </c>
      <c r="K29" s="843">
        <f>F22/1000000</f>
        <v>31.216389379999999</v>
      </c>
    </row>
  </sheetData>
  <mergeCells count="1">
    <mergeCell ref="A26:F29"/>
  </mergeCells>
  <printOptions horizontalCentered="1"/>
  <pageMargins left="0.75" right="0.75" top="0.5" bottom="0.75" header="0.5" footer="0.5"/>
  <pageSetup scale="83"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sheetPr codeName="Sheet17"/>
  <dimension ref="A1:G25"/>
  <sheetViews>
    <sheetView zoomScaleNormal="100" workbookViewId="0">
      <selection activeCell="A2" sqref="A2"/>
    </sheetView>
  </sheetViews>
  <sheetFormatPr defaultRowHeight="12.75"/>
  <cols>
    <col min="1" max="1" width="12.85546875" customWidth="1"/>
    <col min="2" max="7" width="15" customWidth="1"/>
  </cols>
  <sheetData>
    <row r="1" spans="1:7" ht="18">
      <c r="A1" s="156" t="s">
        <v>376</v>
      </c>
      <c r="B1" s="13"/>
      <c r="C1" s="13"/>
      <c r="D1" s="13"/>
      <c r="E1" s="15"/>
      <c r="F1" s="157"/>
      <c r="G1" s="13"/>
    </row>
    <row r="2" spans="1:7" ht="15.75">
      <c r="A2" s="158" t="s">
        <v>245</v>
      </c>
      <c r="B2" s="13"/>
      <c r="C2" s="13"/>
      <c r="D2" s="13"/>
      <c r="E2" s="15"/>
      <c r="F2" s="159"/>
      <c r="G2" s="13"/>
    </row>
    <row r="3" spans="1:7">
      <c r="A3" s="56"/>
      <c r="B3" s="13"/>
      <c r="C3" s="13"/>
      <c r="D3" s="13"/>
      <c r="E3" s="15"/>
      <c r="F3" s="56"/>
      <c r="G3" s="13"/>
    </row>
    <row r="4" spans="1:7" ht="13.5" thickBot="1">
      <c r="A4" s="56"/>
      <c r="B4" s="13"/>
      <c r="C4" s="13"/>
      <c r="D4" s="13"/>
      <c r="E4" s="15"/>
      <c r="F4" s="160"/>
      <c r="G4" s="13"/>
    </row>
    <row r="5" spans="1:7" ht="13.5" thickTop="1">
      <c r="A5" s="161"/>
      <c r="B5" s="162" t="s">
        <v>246</v>
      </c>
      <c r="C5" s="162" t="s">
        <v>247</v>
      </c>
      <c r="D5" s="162" t="s">
        <v>248</v>
      </c>
      <c r="E5" s="163" t="s">
        <v>249</v>
      </c>
      <c r="F5" s="162" t="s">
        <v>250</v>
      </c>
      <c r="G5" s="164" t="s">
        <v>251</v>
      </c>
    </row>
    <row r="6" spans="1:7">
      <c r="A6" s="165" t="s">
        <v>44</v>
      </c>
      <c r="B6" s="166" t="s">
        <v>252</v>
      </c>
      <c r="C6" s="166" t="s">
        <v>253</v>
      </c>
      <c r="D6" s="167" t="s">
        <v>254</v>
      </c>
      <c r="E6" s="168" t="s">
        <v>31</v>
      </c>
      <c r="F6" s="169" t="s">
        <v>31</v>
      </c>
      <c r="G6" s="167" t="s">
        <v>255</v>
      </c>
    </row>
    <row r="7" spans="1:7">
      <c r="A7" s="170">
        <v>2002</v>
      </c>
      <c r="B7" s="1001">
        <v>208890000</v>
      </c>
      <c r="C7" s="1002">
        <v>5015000</v>
      </c>
      <c r="D7" s="1002">
        <v>15023000</v>
      </c>
      <c r="E7" s="1001">
        <v>133661000</v>
      </c>
      <c r="F7" s="1001">
        <v>5348000</v>
      </c>
      <c r="G7" s="1002">
        <v>5418000</v>
      </c>
    </row>
    <row r="8" spans="1:7">
      <c r="A8" s="170">
        <v>2003</v>
      </c>
      <c r="B8" s="171">
        <v>278119000</v>
      </c>
      <c r="C8" s="56">
        <v>4942000</v>
      </c>
      <c r="D8" s="56">
        <v>15314000</v>
      </c>
      <c r="E8" s="171">
        <v>143325000</v>
      </c>
      <c r="F8" s="171">
        <v>5757000</v>
      </c>
      <c r="G8" s="56">
        <v>5115000</v>
      </c>
    </row>
    <row r="9" spans="1:7">
      <c r="A9" s="170">
        <v>2004</v>
      </c>
      <c r="B9" s="171">
        <v>331364000</v>
      </c>
      <c r="C9" s="56">
        <v>5315000</v>
      </c>
      <c r="D9" s="56">
        <v>16118000</v>
      </c>
      <c r="E9" s="171">
        <v>149648000</v>
      </c>
      <c r="F9" s="171">
        <v>6540000</v>
      </c>
      <c r="G9" s="56">
        <v>5216000</v>
      </c>
    </row>
    <row r="10" spans="1:7">
      <c r="A10" s="170">
        <v>2005</v>
      </c>
      <c r="B10" s="171">
        <v>572252000</v>
      </c>
      <c r="C10" s="56">
        <v>5481000</v>
      </c>
      <c r="D10" s="56">
        <v>6329000</v>
      </c>
      <c r="E10" s="171">
        <v>149962000</v>
      </c>
      <c r="F10" s="171">
        <v>7101000</v>
      </c>
      <c r="G10" s="56">
        <v>5208000</v>
      </c>
    </row>
    <row r="11" spans="1:7">
      <c r="A11" s="170">
        <v>2006</v>
      </c>
      <c r="B11" s="172">
        <f>ROUND(622474721+47335290.49,-3)</f>
        <v>669810000</v>
      </c>
      <c r="C11" s="160">
        <f>ROUND(5202995.87+110184.61+537645.21,-3)</f>
        <v>5851000</v>
      </c>
      <c r="D11" s="160">
        <v>0</v>
      </c>
      <c r="E11" s="160">
        <f>ROUND(160305097.92+101538.27,-3)</f>
        <v>160407000</v>
      </c>
      <c r="F11" s="172">
        <f>ROUND(7693435.38,-3)</f>
        <v>7693000</v>
      </c>
      <c r="G11" s="160">
        <f>ROUND(4216560.57+750188.35,-3)</f>
        <v>4967000</v>
      </c>
    </row>
    <row r="12" spans="1:7">
      <c r="A12" s="173">
        <v>2007</v>
      </c>
      <c r="B12" s="172">
        <f>ROUND(522249922.53+38795621.51,-3)</f>
        <v>561046000</v>
      </c>
      <c r="C12" s="160">
        <f>ROUND(5543222.73+614.5+636711.31,-3)</f>
        <v>6181000</v>
      </c>
      <c r="D12" s="160">
        <v>0</v>
      </c>
      <c r="E12" s="160">
        <f>ROUND(193850.62+152670079.13,-3)</f>
        <v>152864000</v>
      </c>
      <c r="F12" s="172">
        <f>ROUND(7084431.43,-3)</f>
        <v>7084000</v>
      </c>
      <c r="G12" s="160">
        <f>ROUND(4501107.04+783076.26,-3)</f>
        <v>5284000</v>
      </c>
    </row>
    <row r="13" spans="1:7">
      <c r="A13" s="173">
        <v>2008</v>
      </c>
      <c r="B13" s="172">
        <f>ROUND(32227383.72+405781521.26,-3)</f>
        <v>438009000</v>
      </c>
      <c r="C13" s="160">
        <f>ROUND(5557528.16+419.7+629019.18,-3)</f>
        <v>6187000</v>
      </c>
      <c r="D13" s="160">
        <v>0</v>
      </c>
      <c r="E13" s="160">
        <f>ROUND(2299446.42+151078352.83,-3)</f>
        <v>153378000</v>
      </c>
      <c r="F13" s="172">
        <f>ROUND(5871954.4,-3)</f>
        <v>5872000</v>
      </c>
      <c r="G13" s="160">
        <f>ROUND(4894761.32+751088.74,-3)</f>
        <v>5646000</v>
      </c>
    </row>
    <row r="14" spans="1:7">
      <c r="A14" s="173">
        <v>2009</v>
      </c>
      <c r="B14" s="172">
        <f>ROUND(25246826.19+273150874.53,-3)</f>
        <v>298398000</v>
      </c>
      <c r="C14" s="160">
        <f>ROUND(5192067.9+169.6+670047.82,-3)</f>
        <v>5862000</v>
      </c>
      <c r="D14" s="160">
        <v>0</v>
      </c>
      <c r="E14" s="160">
        <f>ROUND(147313.47+5858401.96,-3)</f>
        <v>6006000</v>
      </c>
      <c r="F14" s="172">
        <f>ROUND(4611928.48,-3)</f>
        <v>4612000</v>
      </c>
      <c r="G14" s="160">
        <f>ROUND(5201126.66+950074.03,-3)</f>
        <v>6151000</v>
      </c>
    </row>
    <row r="15" spans="1:7">
      <c r="A15" s="173">
        <v>2010</v>
      </c>
      <c r="B15" s="172">
        <f>ROUND(24567862.44+250770264.43,-3)</f>
        <v>275338000</v>
      </c>
      <c r="C15" s="172">
        <f>ROUND(4933649.47+134+701491.65,-3)</f>
        <v>5635000</v>
      </c>
      <c r="D15" s="160">
        <v>0</v>
      </c>
      <c r="E15" s="160">
        <f>ROUND(479756.38+5191118.81,-3)</f>
        <v>5671000</v>
      </c>
      <c r="F15" s="172">
        <f>ROUND(3617995.04,-3)</f>
        <v>3618000</v>
      </c>
      <c r="G15" s="160">
        <f>ROUND(3939854.1+2283083.33,-3)</f>
        <v>6223000</v>
      </c>
    </row>
    <row r="16" spans="1:7">
      <c r="A16" s="173">
        <v>2011</v>
      </c>
      <c r="B16" s="172">
        <f>ROUND(23234390.98+253337973.33,-3)</f>
        <v>276572000</v>
      </c>
      <c r="C16" s="172">
        <f>ROUND(5509770.17+0+666706.85,-3)</f>
        <v>6176000</v>
      </c>
      <c r="D16" s="160">
        <v>0</v>
      </c>
      <c r="E16" s="160">
        <f>ROUND(281873.69+2431026.12,-3)</f>
        <v>2713000</v>
      </c>
      <c r="F16" s="172">
        <f>ROUND(3477013.65,-3)</f>
        <v>3477000</v>
      </c>
      <c r="G16" s="160">
        <f>ROUND(5153374+831911.5,-3)</f>
        <v>5985000</v>
      </c>
    </row>
    <row r="17" spans="1:7">
      <c r="A17" s="173">
        <v>2012</v>
      </c>
      <c r="B17" s="172">
        <f>ROUND(23768885.04+283380301.74,-3)</f>
        <v>307149000</v>
      </c>
      <c r="C17" s="172">
        <f>ROUND(5657361.58+0+596716.79,-3)</f>
        <v>6254000</v>
      </c>
      <c r="D17" s="160">
        <v>0</v>
      </c>
      <c r="E17" s="160">
        <f>ROUND(81746.01+216589.41,-3)</f>
        <v>298000</v>
      </c>
      <c r="F17" s="172">
        <f>ROUND(3676330.46,-3)</f>
        <v>3676000</v>
      </c>
      <c r="G17" s="160">
        <f>ROUND(6023687.18+856583.43,-3)</f>
        <v>6880000</v>
      </c>
    </row>
    <row r="18" spans="1:7">
      <c r="A18" s="174"/>
      <c r="B18" s="175"/>
      <c r="C18" s="175"/>
      <c r="D18" s="160"/>
      <c r="E18" s="176"/>
      <c r="F18" s="15"/>
      <c r="G18" s="177"/>
    </row>
    <row r="19" spans="1:7">
      <c r="A19" s="178" t="s">
        <v>2</v>
      </c>
      <c r="B19" s="9"/>
      <c r="C19" s="9"/>
      <c r="D19" s="9"/>
      <c r="E19" s="9"/>
      <c r="F19" s="179"/>
      <c r="G19" s="9"/>
    </row>
    <row r="20" spans="1:7" ht="79.5" customHeight="1">
      <c r="A20" s="1068" t="s">
        <v>1055</v>
      </c>
      <c r="B20" s="1068"/>
      <c r="C20" s="1068"/>
      <c r="D20" s="1068"/>
      <c r="E20" s="1068"/>
      <c r="F20" s="1068"/>
      <c r="G20" s="1068"/>
    </row>
    <row r="21" spans="1:7" ht="42" customHeight="1">
      <c r="A21" s="1069" t="s">
        <v>258</v>
      </c>
      <c r="B21" s="1069"/>
      <c r="C21" s="1069"/>
      <c r="D21" s="1069"/>
      <c r="E21" s="1069"/>
      <c r="F21" s="1069"/>
      <c r="G21" s="1069"/>
    </row>
    <row r="22" spans="1:7" ht="54.75" customHeight="1">
      <c r="A22" s="1067" t="s">
        <v>259</v>
      </c>
      <c r="B22" s="1067"/>
      <c r="C22" s="1067"/>
      <c r="D22" s="1067"/>
      <c r="E22" s="1067"/>
      <c r="F22" s="1067"/>
      <c r="G22" s="1067"/>
    </row>
    <row r="23" spans="1:7" ht="76.900000000000006" customHeight="1">
      <c r="A23" s="1067" t="s">
        <v>348</v>
      </c>
      <c r="B23" s="1067"/>
      <c r="C23" s="1067"/>
      <c r="D23" s="1067"/>
      <c r="E23" s="1067"/>
      <c r="F23" s="1067"/>
      <c r="G23" s="1067"/>
    </row>
    <row r="24" spans="1:7" ht="15.75" customHeight="1">
      <c r="A24" s="1067" t="s">
        <v>256</v>
      </c>
      <c r="B24" s="1067"/>
      <c r="C24" s="1067"/>
      <c r="D24" s="1067"/>
      <c r="E24" s="1067"/>
      <c r="F24" s="1067"/>
      <c r="G24" s="1067"/>
    </row>
    <row r="25" spans="1:7" ht="28.5" customHeight="1">
      <c r="A25" s="1067" t="s">
        <v>257</v>
      </c>
      <c r="B25" s="1067"/>
      <c r="C25" s="1067"/>
      <c r="D25" s="1067"/>
      <c r="E25" s="1067"/>
      <c r="F25" s="1067"/>
      <c r="G25" s="1067"/>
    </row>
  </sheetData>
  <mergeCells count="6">
    <mergeCell ref="A24:G24"/>
    <mergeCell ref="A25:G25"/>
    <mergeCell ref="A20:G20"/>
    <mergeCell ref="A21:G21"/>
    <mergeCell ref="A22:G22"/>
    <mergeCell ref="A23:G23"/>
  </mergeCells>
  <phoneticPr fontId="13" type="noConversion"/>
  <printOptions horizontalCentered="1"/>
  <pageMargins left="0.75" right="0.75" top="0.75" bottom="1" header="0.5" footer="0.5"/>
  <pageSetup scale="88" orientation="landscape" r:id="rId1"/>
  <headerFooter alignWithMargins="0"/>
</worksheet>
</file>

<file path=xl/worksheets/sheet22.xml><?xml version="1.0" encoding="utf-8"?>
<worksheet xmlns="http://schemas.openxmlformats.org/spreadsheetml/2006/main" xmlns:r="http://schemas.openxmlformats.org/officeDocument/2006/relationships">
  <sheetPr codeName="Sheet19"/>
  <dimension ref="A1:J51"/>
  <sheetViews>
    <sheetView topLeftCell="A14" zoomScaleNormal="100" workbookViewId="0">
      <selection activeCell="I17" sqref="I17"/>
    </sheetView>
  </sheetViews>
  <sheetFormatPr defaultRowHeight="12.75"/>
  <cols>
    <col min="1" max="5" width="11.7109375" bestFit="1" customWidth="1"/>
    <col min="6" max="6" width="13.140625" customWidth="1"/>
    <col min="7" max="7" width="14.5703125" customWidth="1"/>
    <col min="8" max="8" width="11.85546875" bestFit="1" customWidth="1"/>
  </cols>
  <sheetData>
    <row r="1" spans="1:9" ht="17.45" customHeight="1">
      <c r="A1" s="180" t="s">
        <v>377</v>
      </c>
      <c r="B1" s="13"/>
      <c r="C1" s="13"/>
      <c r="D1" s="13"/>
      <c r="E1" s="13"/>
      <c r="F1" s="15"/>
      <c r="G1" s="13"/>
      <c r="H1" s="13"/>
    </row>
    <row r="2" spans="1:9" ht="15.6" customHeight="1">
      <c r="A2" s="8" t="s">
        <v>260</v>
      </c>
      <c r="B2" s="13"/>
      <c r="C2" s="13"/>
      <c r="D2" s="13"/>
      <c r="E2" s="13"/>
      <c r="F2" s="15"/>
      <c r="G2" s="13"/>
      <c r="H2" s="13"/>
    </row>
    <row r="3" spans="1:9" ht="15" customHeight="1" thickBot="1">
      <c r="A3" s="13"/>
      <c r="B3" s="13"/>
      <c r="C3" s="13"/>
      <c r="D3" s="13"/>
      <c r="E3" s="13"/>
      <c r="F3" s="13"/>
      <c r="G3" s="15"/>
      <c r="H3" s="15"/>
    </row>
    <row r="4" spans="1:9" ht="15" customHeight="1" thickTop="1">
      <c r="A4" s="161"/>
      <c r="B4" s="164" t="s">
        <v>261</v>
      </c>
      <c r="C4" s="162" t="s">
        <v>262</v>
      </c>
      <c r="D4" s="162" t="s">
        <v>263</v>
      </c>
      <c r="E4" s="181"/>
      <c r="F4" s="164" t="s">
        <v>264</v>
      </c>
      <c r="G4" s="164" t="s">
        <v>265</v>
      </c>
      <c r="H4" s="161"/>
    </row>
    <row r="5" spans="1:9" ht="15" customHeight="1">
      <c r="A5" s="167" t="s">
        <v>44</v>
      </c>
      <c r="B5" s="167" t="s">
        <v>266</v>
      </c>
      <c r="C5" s="167" t="s">
        <v>267</v>
      </c>
      <c r="D5" s="167" t="s">
        <v>254</v>
      </c>
      <c r="E5" s="167" t="s">
        <v>268</v>
      </c>
      <c r="F5" s="167" t="s">
        <v>31</v>
      </c>
      <c r="G5" s="167" t="s">
        <v>269</v>
      </c>
      <c r="H5" s="167" t="s">
        <v>270</v>
      </c>
    </row>
    <row r="6" spans="1:9" ht="15" customHeight="1">
      <c r="A6" s="170">
        <v>2002</v>
      </c>
      <c r="B6" s="1002">
        <v>2561000</v>
      </c>
      <c r="C6" s="1002">
        <v>149000</v>
      </c>
      <c r="D6" s="1002">
        <v>317000</v>
      </c>
      <c r="E6" s="1002">
        <v>346000</v>
      </c>
      <c r="F6" s="185" t="s">
        <v>88</v>
      </c>
      <c r="G6" s="185" t="s">
        <v>88</v>
      </c>
      <c r="H6" s="1001">
        <v>6832000</v>
      </c>
    </row>
    <row r="7" spans="1:9" ht="15" customHeight="1">
      <c r="A7" s="170">
        <v>2003</v>
      </c>
      <c r="B7" s="56">
        <v>2560000</v>
      </c>
      <c r="C7" s="56">
        <v>149000</v>
      </c>
      <c r="D7" s="56">
        <v>153000</v>
      </c>
      <c r="E7" s="56">
        <v>309000</v>
      </c>
      <c r="F7" s="182" t="s">
        <v>88</v>
      </c>
      <c r="G7" s="182" t="s">
        <v>88</v>
      </c>
      <c r="H7" s="171">
        <v>4683000</v>
      </c>
    </row>
    <row r="8" spans="1:9" ht="15" customHeight="1">
      <c r="A8" s="170">
        <v>2004</v>
      </c>
      <c r="B8" s="56">
        <v>4454000</v>
      </c>
      <c r="C8" s="56">
        <v>161000</v>
      </c>
      <c r="D8" s="56">
        <v>92000</v>
      </c>
      <c r="E8" s="56">
        <v>515000</v>
      </c>
      <c r="F8" s="182" t="s">
        <v>88</v>
      </c>
      <c r="G8" s="182" t="s">
        <v>88</v>
      </c>
      <c r="H8" s="171">
        <v>5979000</v>
      </c>
    </row>
    <row r="9" spans="1:9" ht="15" customHeight="1">
      <c r="A9" s="170">
        <v>2005</v>
      </c>
      <c r="B9" s="56">
        <v>5224000</v>
      </c>
      <c r="C9" s="56">
        <v>182000</v>
      </c>
      <c r="D9" s="56">
        <v>169000</v>
      </c>
      <c r="E9" s="56">
        <v>240000</v>
      </c>
      <c r="F9" s="56">
        <v>103164000</v>
      </c>
      <c r="G9" s="56">
        <v>3627000</v>
      </c>
      <c r="H9" s="171">
        <v>6944000</v>
      </c>
    </row>
    <row r="10" spans="1:9" ht="15" customHeight="1">
      <c r="A10" s="173">
        <v>2006</v>
      </c>
      <c r="B10" s="160">
        <f>ROUND(5042499.13,-3)</f>
        <v>5042000</v>
      </c>
      <c r="C10" s="160">
        <f>ROUND(149431.82,-3)</f>
        <v>149000</v>
      </c>
      <c r="D10" s="160">
        <f>ROUND(128909.39,-3)</f>
        <v>129000</v>
      </c>
      <c r="E10" s="160">
        <f>ROUND(211640.48,-3)</f>
        <v>212000</v>
      </c>
      <c r="F10" s="160">
        <f>ROUND(172108943.14,-3)</f>
        <v>172109000</v>
      </c>
      <c r="G10" s="160">
        <f>ROUND(14975028.86,-3)</f>
        <v>14975000</v>
      </c>
      <c r="H10" s="172">
        <f>ROUND(6540262.74,-3)</f>
        <v>6540000</v>
      </c>
    </row>
    <row r="11" spans="1:9" ht="15" customHeight="1">
      <c r="A11" s="173">
        <v>2007</v>
      </c>
      <c r="B11" s="160">
        <f>ROUND(5108638.52,-3)</f>
        <v>5109000</v>
      </c>
      <c r="C11" s="160">
        <f>ROUND(183368.78,-3)</f>
        <v>183000</v>
      </c>
      <c r="D11" s="160">
        <f>ROUND(58718.22,-3)</f>
        <v>59000</v>
      </c>
      <c r="E11" s="160">
        <f>ROUND(285999.65,-3)</f>
        <v>286000</v>
      </c>
      <c r="F11" s="160">
        <f>ROUND(171991791.12,-3)</f>
        <v>171992000</v>
      </c>
      <c r="G11" s="160">
        <f>ROUND(14927736.05,-3)</f>
        <v>14928000</v>
      </c>
      <c r="H11" s="172">
        <f>ROUND(7886077.07,-3)</f>
        <v>7886000</v>
      </c>
    </row>
    <row r="12" spans="1:9" ht="15" customHeight="1">
      <c r="A12" s="173">
        <v>2008</v>
      </c>
      <c r="B12" s="160">
        <f>ROUND(5028039.92,-3)</f>
        <v>5028000</v>
      </c>
      <c r="C12" s="160">
        <f>ROUND(155902.57,-3)</f>
        <v>156000</v>
      </c>
      <c r="D12" s="160">
        <f>ROUND(132532.74,-3)</f>
        <v>133000</v>
      </c>
      <c r="E12" s="160">
        <f>ROUND(353308.71,-3)</f>
        <v>353000</v>
      </c>
      <c r="F12" s="160">
        <f>ROUND(168034699.73,-3)</f>
        <v>168035000</v>
      </c>
      <c r="G12" s="160">
        <f>ROUND(15911028.52,-3)</f>
        <v>15911000</v>
      </c>
      <c r="H12" s="172">
        <f>ROUND(5302778.95,-3)</f>
        <v>5303000</v>
      </c>
      <c r="I12" s="25"/>
    </row>
    <row r="13" spans="1:9" ht="15" customHeight="1">
      <c r="A13" s="173">
        <v>2009</v>
      </c>
      <c r="B13" s="160">
        <f>ROUND(4667896.48,-3)</f>
        <v>4668000</v>
      </c>
      <c r="C13" s="160">
        <f>ROUND(151095.56,-3)</f>
        <v>151000</v>
      </c>
      <c r="D13" s="160">
        <f>ROUND(79825.13,-3)</f>
        <v>80000</v>
      </c>
      <c r="E13" s="160">
        <f>ROUND(388112.8,-3)</f>
        <v>388000</v>
      </c>
      <c r="F13" s="160">
        <f>ROUND(167496585.4,-3)</f>
        <v>167497000</v>
      </c>
      <c r="G13" s="160">
        <f>ROUND(16252948.62,-3)</f>
        <v>16253000</v>
      </c>
      <c r="H13" s="172">
        <f>ROUND(3565491.87,-3)</f>
        <v>3565000</v>
      </c>
      <c r="I13" s="25"/>
    </row>
    <row r="14" spans="1:9" ht="15" customHeight="1">
      <c r="A14" s="173">
        <v>2010</v>
      </c>
      <c r="B14" s="160">
        <f>ROUND(5106701.94,-3)</f>
        <v>5107000</v>
      </c>
      <c r="C14" s="160">
        <f>ROUND(145943.73,-3)</f>
        <v>146000</v>
      </c>
      <c r="D14" s="160">
        <f>ROUND(99479.68,-3)</f>
        <v>99000</v>
      </c>
      <c r="E14" s="160">
        <f>ROUND(548944.69,-3)</f>
        <v>549000</v>
      </c>
      <c r="F14" s="160">
        <f>ROUND(158389138.81,-3)</f>
        <v>158389000</v>
      </c>
      <c r="G14" s="160">
        <f>ROUND(17667767.24,-3)</f>
        <v>17668000</v>
      </c>
      <c r="H14" s="172">
        <f>ROUND(8308749.36,-3)</f>
        <v>8309000</v>
      </c>
      <c r="I14" s="25"/>
    </row>
    <row r="15" spans="1:9" ht="15" customHeight="1">
      <c r="A15" s="173">
        <v>2011</v>
      </c>
      <c r="B15" s="160">
        <f>ROUND(5143025.35,-3)</f>
        <v>5143000</v>
      </c>
      <c r="C15" s="160">
        <f>ROUND(151003.54,-3)</f>
        <v>151000</v>
      </c>
      <c r="D15" s="160">
        <f>ROUND(101961.2,-3)</f>
        <v>102000</v>
      </c>
      <c r="E15" s="160">
        <f>ROUND(423508.74,-3)</f>
        <v>424000</v>
      </c>
      <c r="F15" s="160">
        <f>ROUND(155718956.45,-3)</f>
        <v>155719000</v>
      </c>
      <c r="G15" s="160">
        <f>ROUND(18012294.99,-3)</f>
        <v>18012000</v>
      </c>
      <c r="H15" s="172">
        <f>ROUND(6449304.41,-3)</f>
        <v>6449000</v>
      </c>
      <c r="I15" s="25"/>
    </row>
    <row r="16" spans="1:9" ht="15" customHeight="1">
      <c r="A16" s="173">
        <v>2012</v>
      </c>
      <c r="B16" s="160">
        <f>ROUND(3411527.32,-3)</f>
        <v>3412000</v>
      </c>
      <c r="C16" s="160">
        <f>ROUND(148584.25,-3)</f>
        <v>149000</v>
      </c>
      <c r="D16" s="160">
        <f>ROUND(171961.84,-3)</f>
        <v>172000</v>
      </c>
      <c r="E16" s="160">
        <f>ROUND(595811.49,-3)</f>
        <v>596000</v>
      </c>
      <c r="F16" s="160">
        <f>ROUND(173910917.18,-3)</f>
        <v>173911000</v>
      </c>
      <c r="G16" s="160">
        <f>ROUND(18541582.66,-3)</f>
        <v>18542000</v>
      </c>
      <c r="H16" s="172">
        <f>ROUND(4724757.12,-3)</f>
        <v>4725000</v>
      </c>
      <c r="I16" s="25"/>
    </row>
    <row r="17" spans="1:10" ht="15" customHeight="1">
      <c r="A17" s="183"/>
      <c r="B17" s="13"/>
      <c r="C17" s="13"/>
      <c r="D17" s="13"/>
      <c r="E17" s="13"/>
      <c r="F17" s="13"/>
      <c r="G17" s="13"/>
      <c r="H17" s="13"/>
    </row>
    <row r="18" spans="1:10" s="184" customFormat="1" ht="13.15" customHeight="1">
      <c r="A18" s="179" t="s">
        <v>2</v>
      </c>
      <c r="B18" s="13"/>
      <c r="C18" s="13"/>
      <c r="D18" s="13"/>
      <c r="E18" s="13"/>
      <c r="F18" s="13"/>
      <c r="G18" s="13"/>
      <c r="H18" s="13"/>
    </row>
    <row r="19" spans="1:10" s="184" customFormat="1" ht="38.450000000000003" customHeight="1">
      <c r="A19" s="1074" t="s">
        <v>1117</v>
      </c>
      <c r="B19" s="1071"/>
      <c r="C19" s="1071"/>
      <c r="D19" s="1071"/>
      <c r="E19" s="1071"/>
      <c r="F19" s="1071"/>
      <c r="G19" s="1071"/>
      <c r="H19" s="1071"/>
    </row>
    <row r="20" spans="1:10" s="184" customFormat="1" ht="28.5" customHeight="1">
      <c r="A20" s="1070" t="s">
        <v>271</v>
      </c>
      <c r="B20" s="1071"/>
      <c r="C20" s="1071"/>
      <c r="D20" s="1071"/>
      <c r="E20" s="1071"/>
      <c r="F20" s="1071"/>
      <c r="G20" s="1071"/>
      <c r="H20" s="1071"/>
    </row>
    <row r="21" spans="1:10" s="184" customFormat="1" ht="28.5" customHeight="1">
      <c r="A21" s="1070" t="s">
        <v>1113</v>
      </c>
      <c r="B21" s="1071"/>
      <c r="C21" s="1071"/>
      <c r="D21" s="1071"/>
      <c r="E21" s="1071"/>
      <c r="F21" s="1071"/>
      <c r="G21" s="1071"/>
      <c r="H21" s="1071"/>
    </row>
    <row r="22" spans="1:10" s="184" customFormat="1" ht="28.5" customHeight="1">
      <c r="A22" s="1070" t="s">
        <v>272</v>
      </c>
      <c r="B22" s="1071"/>
      <c r="C22" s="1071"/>
      <c r="D22" s="1071"/>
      <c r="E22" s="1071"/>
      <c r="F22" s="1071"/>
      <c r="G22" s="1071"/>
      <c r="H22" s="1071"/>
    </row>
    <row r="23" spans="1:10" s="184" customFormat="1" ht="54" customHeight="1">
      <c r="A23" s="1070" t="s">
        <v>370</v>
      </c>
      <c r="B23" s="1071"/>
      <c r="C23" s="1071"/>
      <c r="D23" s="1071"/>
      <c r="E23" s="1071"/>
      <c r="F23" s="1071"/>
      <c r="G23" s="1071"/>
      <c r="H23" s="1071"/>
    </row>
    <row r="24" spans="1:10" s="184" customFormat="1" ht="54" customHeight="1">
      <c r="A24" s="1070" t="s">
        <v>371</v>
      </c>
      <c r="B24" s="1071"/>
      <c r="C24" s="1071"/>
      <c r="D24" s="1071"/>
      <c r="E24" s="1071"/>
      <c r="F24" s="1071"/>
      <c r="G24" s="1071"/>
      <c r="H24" s="1071"/>
    </row>
    <row r="25" spans="1:10" s="184" customFormat="1" ht="42" customHeight="1">
      <c r="A25" s="1070" t="s">
        <v>355</v>
      </c>
      <c r="B25" s="1071"/>
      <c r="C25" s="1071"/>
      <c r="D25" s="1071"/>
      <c r="E25" s="1071"/>
      <c r="F25" s="1071"/>
      <c r="G25" s="1071"/>
      <c r="H25" s="1071"/>
    </row>
    <row r="26" spans="1:10" ht="18">
      <c r="A26" s="180" t="s">
        <v>378</v>
      </c>
      <c r="B26" s="13"/>
      <c r="C26" s="13"/>
      <c r="D26" s="13"/>
      <c r="E26" s="13"/>
      <c r="F26" s="15"/>
      <c r="G26" s="13"/>
      <c r="H26" s="13"/>
    </row>
    <row r="27" spans="1:10" ht="15.75">
      <c r="A27" s="8" t="s">
        <v>260</v>
      </c>
      <c r="B27" s="13"/>
      <c r="C27" s="13"/>
      <c r="D27" s="13"/>
      <c r="E27" s="13"/>
      <c r="F27" s="15"/>
      <c r="G27" s="13"/>
      <c r="H27" s="13"/>
    </row>
    <row r="28" spans="1:10" ht="13.5" thickBot="1">
      <c r="A28" s="13"/>
      <c r="B28" s="13"/>
      <c r="C28" s="13"/>
      <c r="D28" s="13"/>
      <c r="E28" s="13"/>
      <c r="F28" s="13"/>
      <c r="G28" s="15"/>
      <c r="H28" s="15"/>
    </row>
    <row r="29" spans="1:10" ht="13.5" thickTop="1">
      <c r="A29" s="161"/>
      <c r="B29" s="164" t="s">
        <v>356</v>
      </c>
      <c r="C29" s="164" t="s">
        <v>409</v>
      </c>
      <c r="D29" s="164" t="s">
        <v>357</v>
      </c>
      <c r="E29" s="164" t="s">
        <v>358</v>
      </c>
      <c r="F29" s="164" t="s">
        <v>359</v>
      </c>
      <c r="G29" s="164" t="s">
        <v>360</v>
      </c>
      <c r="H29" s="164" t="s">
        <v>410</v>
      </c>
      <c r="I29" s="164" t="s">
        <v>407</v>
      </c>
    </row>
    <row r="30" spans="1:10">
      <c r="A30" s="167" t="s">
        <v>44</v>
      </c>
      <c r="B30" s="167" t="s">
        <v>31</v>
      </c>
      <c r="C30" s="167" t="s">
        <v>31</v>
      </c>
      <c r="D30" s="167" t="s">
        <v>361</v>
      </c>
      <c r="E30" s="167" t="s">
        <v>269</v>
      </c>
      <c r="F30" s="167" t="s">
        <v>254</v>
      </c>
      <c r="G30" s="167" t="s">
        <v>31</v>
      </c>
      <c r="H30" s="167" t="s">
        <v>31</v>
      </c>
      <c r="I30" s="167" t="s">
        <v>31</v>
      </c>
    </row>
    <row r="31" spans="1:10">
      <c r="A31" s="170">
        <v>2002</v>
      </c>
      <c r="B31" s="1002">
        <v>275000</v>
      </c>
      <c r="C31" s="1002">
        <v>152000</v>
      </c>
      <c r="D31" s="1002">
        <v>135000</v>
      </c>
      <c r="E31" s="1002">
        <v>1619000</v>
      </c>
      <c r="F31" s="1002">
        <v>102000</v>
      </c>
      <c r="G31" s="1002">
        <v>743000</v>
      </c>
      <c r="H31" s="1002">
        <v>20000</v>
      </c>
      <c r="I31" s="185" t="s">
        <v>88</v>
      </c>
    </row>
    <row r="32" spans="1:10">
      <c r="A32" s="170">
        <v>2003</v>
      </c>
      <c r="B32" s="56">
        <v>173000.37</v>
      </c>
      <c r="C32" s="56">
        <v>75000</v>
      </c>
      <c r="D32" s="56">
        <v>155000</v>
      </c>
      <c r="E32" s="56">
        <v>1582000</v>
      </c>
      <c r="F32" s="56">
        <v>127000</v>
      </c>
      <c r="G32" s="56">
        <v>718000</v>
      </c>
      <c r="H32" s="56">
        <v>16000</v>
      </c>
      <c r="I32" s="185" t="s">
        <v>88</v>
      </c>
      <c r="J32" s="825"/>
    </row>
    <row r="33" spans="1:10">
      <c r="A33" s="170">
        <v>2004</v>
      </c>
      <c r="B33" s="56">
        <v>263000</v>
      </c>
      <c r="C33" s="56">
        <v>91000</v>
      </c>
      <c r="D33" s="56">
        <v>102000</v>
      </c>
      <c r="E33" s="56">
        <v>1661000</v>
      </c>
      <c r="F33" s="56">
        <v>210000</v>
      </c>
      <c r="G33" s="56">
        <v>792000</v>
      </c>
      <c r="H33" s="56">
        <v>11000</v>
      </c>
      <c r="I33" s="185" t="s">
        <v>88</v>
      </c>
      <c r="J33" s="825"/>
    </row>
    <row r="34" spans="1:10">
      <c r="A34" s="170">
        <v>2005</v>
      </c>
      <c r="B34" s="56">
        <v>306000</v>
      </c>
      <c r="C34" s="56">
        <v>121000</v>
      </c>
      <c r="D34" s="56">
        <v>136000</v>
      </c>
      <c r="E34" s="56">
        <v>1715000</v>
      </c>
      <c r="F34" s="56">
        <v>202000</v>
      </c>
      <c r="G34" s="56">
        <v>1254000</v>
      </c>
      <c r="H34" s="56">
        <v>12000</v>
      </c>
      <c r="I34" s="185" t="s">
        <v>88</v>
      </c>
      <c r="J34" s="825"/>
    </row>
    <row r="35" spans="1:10">
      <c r="A35" s="173">
        <v>2006</v>
      </c>
      <c r="B35" s="160">
        <f>ROUND(304393.79,-3)</f>
        <v>304000</v>
      </c>
      <c r="C35" s="160">
        <f>ROUND(150429.41,-3)</f>
        <v>150000</v>
      </c>
      <c r="D35" s="160">
        <f>ROUND(147730.34,-3)</f>
        <v>148000</v>
      </c>
      <c r="E35" s="160">
        <f>ROUND(474768.91+1297863.65, -3)</f>
        <v>1773000</v>
      </c>
      <c r="F35" s="160">
        <f>ROUND(181007.27,-3)</f>
        <v>181000</v>
      </c>
      <c r="G35" s="160">
        <f>ROUND(884906.69,-3)</f>
        <v>885000</v>
      </c>
      <c r="H35" s="160">
        <f>ROUND(11702.49,-3)</f>
        <v>12000</v>
      </c>
      <c r="I35" s="185" t="s">
        <v>88</v>
      </c>
      <c r="J35" s="825"/>
    </row>
    <row r="36" spans="1:10">
      <c r="A36" s="173">
        <v>2007</v>
      </c>
      <c r="B36" s="160">
        <f>ROUND(302184.6,-3)</f>
        <v>302000</v>
      </c>
      <c r="C36" s="160">
        <f>ROUND(134392.7,-3)</f>
        <v>134000</v>
      </c>
      <c r="D36" s="160">
        <f>ROUND(173209.72,-3)</f>
        <v>173000</v>
      </c>
      <c r="E36" s="160">
        <f>ROUND(1545847.11+432551.51, -3)</f>
        <v>1978000</v>
      </c>
      <c r="F36" s="160">
        <f>ROUND(218810.12,-3)</f>
        <v>219000</v>
      </c>
      <c r="G36" s="160">
        <f>ROUND(884226.77,-3)</f>
        <v>884000</v>
      </c>
      <c r="H36" s="160">
        <f>ROUND(11931.97,-3)</f>
        <v>12000</v>
      </c>
      <c r="I36" s="160">
        <f>ROUND(130363.84,-3)</f>
        <v>130000</v>
      </c>
      <c r="J36" s="825"/>
    </row>
    <row r="37" spans="1:10">
      <c r="A37" s="173">
        <v>2008</v>
      </c>
      <c r="B37" s="160">
        <f>ROUND(250921.11,-3)</f>
        <v>251000</v>
      </c>
      <c r="C37" s="160">
        <f>ROUND(92780.8,-3)</f>
        <v>93000</v>
      </c>
      <c r="D37" s="160">
        <f>ROUND(249555.02,-3)</f>
        <v>250000</v>
      </c>
      <c r="E37" s="160">
        <f>ROUND(1596313.43+451896.39, -3)</f>
        <v>2048000</v>
      </c>
      <c r="F37" s="160">
        <f>ROUND(207990.81,-3)</f>
        <v>208000</v>
      </c>
      <c r="G37" s="160">
        <f>ROUND(892988.18,-3)</f>
        <v>893000</v>
      </c>
      <c r="H37" s="160">
        <f>ROUND(12310.44,-3)</f>
        <v>12000</v>
      </c>
      <c r="I37" s="160">
        <f>ROUND(123171.37,-3)</f>
        <v>123000</v>
      </c>
      <c r="J37" s="825"/>
    </row>
    <row r="38" spans="1:10">
      <c r="A38" s="173">
        <v>2009</v>
      </c>
      <c r="B38" s="172">
        <f>ROUND(213537.15,-3)</f>
        <v>214000</v>
      </c>
      <c r="C38" s="160">
        <f>ROUND(99785.45,-3)</f>
        <v>100000</v>
      </c>
      <c r="D38" s="160">
        <f>ROUND(535643.4,-3)</f>
        <v>536000</v>
      </c>
      <c r="E38" s="160">
        <f>ROUND(1497298.16+474088.33, -3)</f>
        <v>1971000</v>
      </c>
      <c r="F38" s="160">
        <f>ROUND(199427.16,-3)</f>
        <v>199000</v>
      </c>
      <c r="G38" s="160">
        <f>ROUND(895865.34,-3)</f>
        <v>896000</v>
      </c>
      <c r="H38" s="160">
        <f>ROUND(11892.95,-3)</f>
        <v>12000</v>
      </c>
      <c r="I38" s="160">
        <f>ROUND(125988.75,-3)</f>
        <v>126000</v>
      </c>
      <c r="J38" s="825"/>
    </row>
    <row r="39" spans="1:10">
      <c r="A39" s="173">
        <v>2010</v>
      </c>
      <c r="B39" s="172">
        <f>ROUND(286633.07,-3)</f>
        <v>287000</v>
      </c>
      <c r="C39" s="160">
        <f>ROUND(116565,-3)</f>
        <v>117000</v>
      </c>
      <c r="D39" s="160">
        <f>ROUND(271891.39,-3)</f>
        <v>272000</v>
      </c>
      <c r="E39" s="172">
        <f>ROUND(1437691.69+437133.02, -3)</f>
        <v>1875000</v>
      </c>
      <c r="F39" s="160">
        <f>ROUND(200061.94,-3)</f>
        <v>200000</v>
      </c>
      <c r="G39" s="160">
        <f>ROUND(994142.88,-3)</f>
        <v>994000</v>
      </c>
      <c r="H39" s="160">
        <f>ROUND(11097.58,-3)</f>
        <v>11000</v>
      </c>
      <c r="I39" s="172">
        <f>ROUND(115329.72,-3)</f>
        <v>115000</v>
      </c>
      <c r="J39" s="825"/>
    </row>
    <row r="40" spans="1:10">
      <c r="A40" s="173">
        <v>2011</v>
      </c>
      <c r="B40" s="172">
        <f>ROUND(239694.11,-3)</f>
        <v>240000</v>
      </c>
      <c r="C40" s="160">
        <f>ROUND(102660.85,-3)</f>
        <v>103000</v>
      </c>
      <c r="D40" s="160">
        <f>ROUND(192148.14,-3)</f>
        <v>192000</v>
      </c>
      <c r="E40" s="172">
        <f>ROUND(1469636.65+379627.71, -3)</f>
        <v>1849000</v>
      </c>
      <c r="F40" s="160">
        <f>ROUND(174236.37,-3)</f>
        <v>174000</v>
      </c>
      <c r="G40" s="160">
        <f>ROUND(887573.99,-3)</f>
        <v>888000</v>
      </c>
      <c r="H40" s="160">
        <f>ROUND(9385.64,-3)</f>
        <v>9000</v>
      </c>
      <c r="I40" s="172">
        <f>ROUND(93817.1,-3)</f>
        <v>94000</v>
      </c>
      <c r="J40" s="825"/>
    </row>
    <row r="41" spans="1:10">
      <c r="A41" s="173">
        <v>2012</v>
      </c>
      <c r="B41" s="172">
        <f>ROUND(300696.67,-3)</f>
        <v>301000</v>
      </c>
      <c r="C41" s="160">
        <f>ROUND(130891,-3)</f>
        <v>131000</v>
      </c>
      <c r="D41" s="172">
        <f>ROUND(536806.91,-3)</f>
        <v>537000</v>
      </c>
      <c r="E41" s="172">
        <f>ROUND(1400267.8+436293.59, -3)</f>
        <v>1837000</v>
      </c>
      <c r="F41" s="160">
        <f>ROUND(190864.24,-3)</f>
        <v>191000</v>
      </c>
      <c r="G41" s="160">
        <f>ROUND(930708.28,-3)</f>
        <v>931000</v>
      </c>
      <c r="H41" s="160">
        <f>ROUND(7901.16,-3)</f>
        <v>8000</v>
      </c>
      <c r="I41" s="172">
        <f>ROUND(123476.82,-3)</f>
        <v>123000</v>
      </c>
      <c r="J41" s="825"/>
    </row>
    <row r="42" spans="1:10">
      <c r="A42" s="25"/>
      <c r="B42" s="25"/>
      <c r="C42" s="25"/>
      <c r="D42" s="25"/>
      <c r="E42" s="25"/>
      <c r="F42" s="25"/>
      <c r="G42" s="25"/>
      <c r="H42" s="25"/>
      <c r="J42" s="825"/>
    </row>
    <row r="43" spans="1:10">
      <c r="A43" s="154" t="s">
        <v>2</v>
      </c>
      <c r="B43" s="154"/>
      <c r="C43" s="154"/>
      <c r="D43" s="154"/>
      <c r="E43" s="154"/>
      <c r="F43" s="154"/>
      <c r="G43" s="154"/>
      <c r="H43" s="154"/>
      <c r="J43" s="825"/>
    </row>
    <row r="44" spans="1:10" ht="28.5" customHeight="1">
      <c r="A44" s="1072" t="s">
        <v>362</v>
      </c>
      <c r="B44" s="1072"/>
      <c r="C44" s="1072"/>
      <c r="D44" s="1072"/>
      <c r="E44" s="1072"/>
      <c r="F44" s="1072"/>
      <c r="G44" s="1072"/>
      <c r="H44" s="1072"/>
      <c r="I44" s="1073"/>
    </row>
    <row r="45" spans="1:10" ht="28.5" customHeight="1">
      <c r="A45" s="1072" t="s">
        <v>363</v>
      </c>
      <c r="B45" s="1072"/>
      <c r="C45" s="1072"/>
      <c r="D45" s="1072"/>
      <c r="E45" s="1072"/>
      <c r="F45" s="1072"/>
      <c r="G45" s="1072"/>
      <c r="H45" s="1072"/>
      <c r="I45" s="1073"/>
    </row>
    <row r="46" spans="1:10" ht="28.5" customHeight="1">
      <c r="A46" s="1072" t="s">
        <v>364</v>
      </c>
      <c r="B46" s="1072"/>
      <c r="C46" s="1072"/>
      <c r="D46" s="1072"/>
      <c r="E46" s="1072"/>
      <c r="F46" s="1072"/>
      <c r="G46" s="1072"/>
      <c r="H46" s="1072"/>
      <c r="I46" s="1073"/>
    </row>
    <row r="47" spans="1:10" ht="28.5" customHeight="1">
      <c r="A47" s="1072" t="s">
        <v>365</v>
      </c>
      <c r="B47" s="1072"/>
      <c r="C47" s="1072"/>
      <c r="D47" s="1072"/>
      <c r="E47" s="1072"/>
      <c r="F47" s="1072"/>
      <c r="G47" s="1072"/>
      <c r="H47" s="1072"/>
      <c r="I47" s="1073"/>
    </row>
    <row r="48" spans="1:10" ht="28.5" customHeight="1">
      <c r="A48" s="1072" t="s">
        <v>366</v>
      </c>
      <c r="B48" s="1072"/>
      <c r="C48" s="1072"/>
      <c r="D48" s="1072"/>
      <c r="E48" s="1072"/>
      <c r="F48" s="1072"/>
      <c r="G48" s="1072"/>
      <c r="H48" s="1072"/>
      <c r="I48" s="1073"/>
    </row>
    <row r="49" spans="1:9" ht="28.5" customHeight="1">
      <c r="A49" s="1072" t="s">
        <v>367</v>
      </c>
      <c r="B49" s="1072"/>
      <c r="C49" s="1072"/>
      <c r="D49" s="1072"/>
      <c r="E49" s="1072"/>
      <c r="F49" s="1072"/>
      <c r="G49" s="1072"/>
      <c r="H49" s="1072"/>
      <c r="I49" s="1073"/>
    </row>
    <row r="50" spans="1:9" ht="28.5" customHeight="1">
      <c r="A50" s="1072" t="s">
        <v>368</v>
      </c>
      <c r="B50" s="1072"/>
      <c r="C50" s="1072"/>
      <c r="D50" s="1072"/>
      <c r="E50" s="1072"/>
      <c r="F50" s="1072"/>
      <c r="G50" s="1072"/>
      <c r="H50" s="1072"/>
      <c r="I50" s="1073"/>
    </row>
    <row r="51" spans="1:9" ht="28.5" customHeight="1">
      <c r="A51" s="1071" t="s">
        <v>369</v>
      </c>
      <c r="B51" s="1071"/>
      <c r="C51" s="1071"/>
      <c r="D51" s="1071"/>
      <c r="E51" s="1071"/>
      <c r="F51" s="1071"/>
      <c r="G51" s="1071"/>
      <c r="H51" s="1071"/>
      <c r="I51" s="1071"/>
    </row>
  </sheetData>
  <mergeCells count="15">
    <mergeCell ref="A24:H24"/>
    <mergeCell ref="A19:H19"/>
    <mergeCell ref="A20:H20"/>
    <mergeCell ref="A21:H21"/>
    <mergeCell ref="A22:H22"/>
    <mergeCell ref="A23:H23"/>
    <mergeCell ref="A25:H25"/>
    <mergeCell ref="A44:I44"/>
    <mergeCell ref="A49:I49"/>
    <mergeCell ref="A50:I50"/>
    <mergeCell ref="A51:I51"/>
    <mergeCell ref="A45:I45"/>
    <mergeCell ref="A46:I46"/>
    <mergeCell ref="A47:I47"/>
    <mergeCell ref="A48:I48"/>
  </mergeCells>
  <phoneticPr fontId="13" type="noConversion"/>
  <printOptions horizontalCentered="1"/>
  <pageMargins left="0.75" right="0.75" top="1" bottom="1" header="0.5" footer="0.5"/>
  <pageSetup scale="88" orientation="landscape" r:id="rId1"/>
  <headerFooter alignWithMargins="0"/>
  <rowBreaks count="1" manualBreakCount="1">
    <brk id="25" max="16383" man="1"/>
  </rowBreaks>
</worksheet>
</file>

<file path=xl/worksheets/sheet23.xml><?xml version="1.0" encoding="utf-8"?>
<worksheet xmlns="http://schemas.openxmlformats.org/spreadsheetml/2006/main" xmlns:r="http://schemas.openxmlformats.org/officeDocument/2006/relationships">
  <sheetPr codeName="Sheet21"/>
  <dimension ref="A1:G41"/>
  <sheetViews>
    <sheetView zoomScaleNormal="100" workbookViewId="0">
      <selection activeCell="C19" sqref="C19"/>
    </sheetView>
  </sheetViews>
  <sheetFormatPr defaultColWidth="9.28515625" defaultRowHeight="12.75"/>
  <cols>
    <col min="1" max="1" width="26" style="224" customWidth="1"/>
    <col min="2" max="2" width="29.85546875" style="224" customWidth="1"/>
    <col min="3" max="3" width="22.140625" style="224" customWidth="1"/>
    <col min="4" max="4" width="18.7109375" style="224" bestFit="1" customWidth="1"/>
    <col min="5" max="5" width="19.140625" style="224" bestFit="1" customWidth="1"/>
    <col min="6" max="6" width="20.140625" style="224" bestFit="1" customWidth="1"/>
    <col min="7" max="16384" width="9.28515625" style="224"/>
  </cols>
  <sheetData>
    <row r="1" spans="1:7" ht="18">
      <c r="A1" s="223" t="s">
        <v>445</v>
      </c>
      <c r="B1" s="223"/>
      <c r="C1" s="223"/>
    </row>
    <row r="2" spans="1:7" ht="15.75">
      <c r="A2" s="225" t="s">
        <v>1067</v>
      </c>
      <c r="B2" s="225"/>
      <c r="C2" s="225"/>
    </row>
    <row r="4" spans="1:7">
      <c r="A4" s="226"/>
      <c r="B4" s="226"/>
      <c r="C4" s="226"/>
      <c r="D4" s="227" t="s">
        <v>446</v>
      </c>
      <c r="E4" s="227" t="s">
        <v>447</v>
      </c>
      <c r="F4" s="227" t="s">
        <v>25</v>
      </c>
    </row>
    <row r="5" spans="1:7">
      <c r="A5" s="228" t="s">
        <v>448</v>
      </c>
      <c r="B5" s="228"/>
      <c r="C5" s="228"/>
      <c r="D5" s="229">
        <v>267741032212</v>
      </c>
      <c r="E5" s="230">
        <v>414428520306</v>
      </c>
      <c r="F5" s="229">
        <f>SUM(D5:E5)</f>
        <v>682169552518</v>
      </c>
    </row>
    <row r="6" spans="1:7">
      <c r="A6" s="231" t="s">
        <v>449</v>
      </c>
      <c r="B6" s="231"/>
      <c r="C6" s="231"/>
      <c r="D6" s="232">
        <v>11852796579.889999</v>
      </c>
      <c r="E6" s="233">
        <v>18555817786</v>
      </c>
      <c r="F6" s="232">
        <f t="shared" ref="F6:F15" si="0">SUM(D6:E6)</f>
        <v>30408614365.889999</v>
      </c>
    </row>
    <row r="7" spans="1:7">
      <c r="A7" s="231" t="s">
        <v>450</v>
      </c>
      <c r="B7" s="231"/>
      <c r="C7" s="231"/>
      <c r="D7" s="232">
        <v>33656914</v>
      </c>
      <c r="E7" s="233">
        <v>0</v>
      </c>
      <c r="F7" s="232">
        <f t="shared" si="0"/>
        <v>33656914</v>
      </c>
      <c r="G7" s="853"/>
    </row>
    <row r="8" spans="1:7">
      <c r="A8" s="228" t="s">
        <v>451</v>
      </c>
      <c r="B8" s="228"/>
      <c r="C8" s="228"/>
      <c r="D8" s="232">
        <v>11588398391</v>
      </c>
      <c r="E8" s="233">
        <v>9402214863</v>
      </c>
      <c r="F8" s="232">
        <f t="shared" si="0"/>
        <v>20990613254</v>
      </c>
    </row>
    <row r="9" spans="1:7">
      <c r="A9" s="224" t="s">
        <v>452</v>
      </c>
      <c r="D9" s="232">
        <v>90448426355</v>
      </c>
      <c r="E9" s="233">
        <v>107461452294</v>
      </c>
      <c r="F9" s="232">
        <f t="shared" si="0"/>
        <v>197909878649</v>
      </c>
    </row>
    <row r="10" spans="1:7">
      <c r="A10" s="224" t="s">
        <v>453</v>
      </c>
      <c r="D10" s="232">
        <v>28143685232</v>
      </c>
      <c r="E10" s="233">
        <v>80534855538</v>
      </c>
      <c r="F10" s="232">
        <f t="shared" si="0"/>
        <v>108678540770</v>
      </c>
    </row>
    <row r="11" spans="1:7">
      <c r="A11" s="228" t="s">
        <v>454</v>
      </c>
      <c r="B11" s="228"/>
      <c r="C11" s="228"/>
      <c r="D11" s="232">
        <v>42123</v>
      </c>
      <c r="E11" s="233">
        <v>4769000000</v>
      </c>
      <c r="F11" s="232">
        <f t="shared" si="0"/>
        <v>4769042123</v>
      </c>
    </row>
    <row r="12" spans="1:7">
      <c r="A12" s="228" t="s">
        <v>455</v>
      </c>
      <c r="B12" s="228"/>
      <c r="C12" s="228"/>
      <c r="D12" s="232">
        <f>SUM(D5:D7)-SUM(D8:D11)</f>
        <v>149446933604.89001</v>
      </c>
      <c r="E12" s="232">
        <f>SUM(E5:E7)-SUM(E8:E11)</f>
        <v>230816815397</v>
      </c>
      <c r="F12" s="232">
        <f t="shared" si="0"/>
        <v>380263749001.89001</v>
      </c>
    </row>
    <row r="13" spans="1:7">
      <c r="A13" s="228" t="s">
        <v>456</v>
      </c>
      <c r="B13" s="228"/>
      <c r="C13" s="228"/>
      <c r="D13" s="232">
        <v>6509358546</v>
      </c>
      <c r="E13" s="233">
        <v>9418818245</v>
      </c>
      <c r="F13" s="232">
        <f t="shared" si="0"/>
        <v>15928176791</v>
      </c>
    </row>
    <row r="14" spans="1:7">
      <c r="A14" s="228" t="s">
        <v>457</v>
      </c>
      <c r="B14" s="228"/>
      <c r="C14" s="228"/>
      <c r="D14" s="232">
        <v>1295871906</v>
      </c>
      <c r="E14" s="234">
        <v>1795861578</v>
      </c>
      <c r="F14" s="232">
        <f t="shared" si="0"/>
        <v>3091733484</v>
      </c>
    </row>
    <row r="15" spans="1:7">
      <c r="A15" s="228" t="s">
        <v>458</v>
      </c>
      <c r="B15" s="228"/>
      <c r="C15" s="228"/>
      <c r="D15" s="232">
        <v>47896924</v>
      </c>
      <c r="E15" s="234">
        <v>545375378</v>
      </c>
      <c r="F15" s="235">
        <f t="shared" si="0"/>
        <v>593272302</v>
      </c>
    </row>
    <row r="16" spans="1:7">
      <c r="A16" s="236" t="s">
        <v>459</v>
      </c>
      <c r="B16" s="236"/>
      <c r="C16" s="236"/>
      <c r="D16" s="237">
        <f>D13-D14-D15</f>
        <v>5165589716</v>
      </c>
      <c r="E16" s="237">
        <f>E13-E14-E15</f>
        <v>7077581289</v>
      </c>
      <c r="F16" s="238">
        <f>SUM(D16:E16)</f>
        <v>12243171005</v>
      </c>
    </row>
    <row r="17" spans="1:7">
      <c r="A17" s="228"/>
      <c r="B17" s="228"/>
      <c r="C17" s="228"/>
      <c r="D17" s="239"/>
      <c r="E17" s="230"/>
      <c r="F17" s="229"/>
    </row>
    <row r="18" spans="1:7">
      <c r="A18" s="240"/>
      <c r="B18" s="240"/>
      <c r="C18" s="240"/>
      <c r="D18" s="229"/>
      <c r="E18" s="230"/>
      <c r="F18" s="229"/>
    </row>
    <row r="19" spans="1:7">
      <c r="A19" s="228" t="s">
        <v>66</v>
      </c>
      <c r="B19" s="228"/>
      <c r="C19" s="228"/>
      <c r="D19" s="229">
        <v>51655897</v>
      </c>
      <c r="E19" s="241">
        <v>72285582</v>
      </c>
      <c r="F19" s="229">
        <f>SUM(D19:E19)</f>
        <v>123941479</v>
      </c>
    </row>
    <row r="20" spans="1:7">
      <c r="A20" s="228" t="s">
        <v>460</v>
      </c>
      <c r="B20" s="228"/>
      <c r="C20" s="228"/>
      <c r="D20" s="232">
        <f>D19*0.8</f>
        <v>41324717.600000001</v>
      </c>
      <c r="E20" s="232">
        <f>E19*0.8</f>
        <v>57828465.600000001</v>
      </c>
      <c r="F20" s="229">
        <f>SUM(D20:E20)</f>
        <v>99153183.200000003</v>
      </c>
    </row>
    <row r="21" spans="1:7">
      <c r="A21" s="240" t="s">
        <v>461</v>
      </c>
      <c r="B21" s="228"/>
      <c r="C21" s="228"/>
      <c r="D21" s="232"/>
      <c r="E21" s="232"/>
      <c r="F21" s="232"/>
    </row>
    <row r="22" spans="1:7">
      <c r="A22" s="228" t="s">
        <v>373</v>
      </c>
      <c r="B22" s="228"/>
      <c r="C22" s="228"/>
      <c r="D22" s="232">
        <v>6600</v>
      </c>
      <c r="E22" s="232">
        <v>246109</v>
      </c>
      <c r="F22" s="232">
        <v>252709</v>
      </c>
    </row>
    <row r="23" spans="1:7">
      <c r="A23" s="228" t="s">
        <v>462</v>
      </c>
      <c r="B23" s="228"/>
      <c r="C23" s="228"/>
      <c r="D23" s="232">
        <v>0</v>
      </c>
      <c r="E23" s="242">
        <v>10200</v>
      </c>
      <c r="F23" s="232">
        <v>10200</v>
      </c>
    </row>
    <row r="24" spans="1:7">
      <c r="A24" s="224" t="s">
        <v>463</v>
      </c>
      <c r="D24" s="957">
        <v>0</v>
      </c>
      <c r="E24" s="957">
        <v>0</v>
      </c>
      <c r="F24" s="232">
        <v>0</v>
      </c>
      <c r="G24" s="853"/>
    </row>
    <row r="25" spans="1:7">
      <c r="A25" s="224" t="s">
        <v>374</v>
      </c>
      <c r="D25" s="243">
        <v>3886769</v>
      </c>
      <c r="E25" s="242">
        <v>1068536</v>
      </c>
      <c r="F25" s="232">
        <v>4955305</v>
      </c>
    </row>
    <row r="26" spans="1:7">
      <c r="A26" s="224" t="s">
        <v>464</v>
      </c>
      <c r="D26" s="243">
        <v>0</v>
      </c>
      <c r="E26" s="244">
        <v>0</v>
      </c>
      <c r="F26" s="232">
        <v>0</v>
      </c>
    </row>
    <row r="27" spans="1:7">
      <c r="A27" s="224" t="s">
        <v>465</v>
      </c>
      <c r="D27" s="243">
        <v>0</v>
      </c>
      <c r="E27" s="244">
        <v>0</v>
      </c>
      <c r="F27" s="235">
        <v>0</v>
      </c>
    </row>
    <row r="28" spans="1:7">
      <c r="A28" s="245" t="s">
        <v>466</v>
      </c>
      <c r="B28" s="245"/>
      <c r="C28" s="245"/>
      <c r="D28" s="246">
        <f>D19-D20-D22-D23-D24-D25-D26-D27</f>
        <v>6437810.3999999985</v>
      </c>
      <c r="E28" s="246">
        <f>E19-E20-E22-E23-E24-E25-E26-E27</f>
        <v>13132271.399999999</v>
      </c>
      <c r="F28" s="247">
        <f>SUM(D28:E28)</f>
        <v>19570081.799999997</v>
      </c>
    </row>
    <row r="31" spans="1:7" ht="18">
      <c r="A31" s="248" t="s">
        <v>467</v>
      </c>
      <c r="B31" s="248"/>
      <c r="C31" s="248"/>
      <c r="D31" s="249"/>
      <c r="E31" s="249"/>
      <c r="F31" s="250"/>
      <c r="G31" s="250"/>
    </row>
    <row r="32" spans="1:7" ht="15.75">
      <c r="A32" s="251" t="s">
        <v>468</v>
      </c>
      <c r="B32" s="251"/>
      <c r="C32" s="251"/>
      <c r="D32" s="252"/>
      <c r="E32" s="252"/>
      <c r="F32" s="250"/>
      <c r="G32" s="250"/>
    </row>
    <row r="33" spans="1:7" ht="13.5" thickBot="1">
      <c r="A33" s="253"/>
      <c r="B33" s="253"/>
      <c r="C33" s="253"/>
      <c r="D33" s="252"/>
      <c r="E33" s="252"/>
      <c r="F33" s="250"/>
      <c r="G33" s="250"/>
    </row>
    <row r="34" spans="1:7">
      <c r="A34" s="254"/>
      <c r="B34" s="254"/>
      <c r="C34" s="255"/>
      <c r="D34" s="256"/>
      <c r="E34" s="255"/>
      <c r="F34" s="250"/>
      <c r="G34" s="250"/>
    </row>
    <row r="35" spans="1:7">
      <c r="A35" s="257" t="s">
        <v>44</v>
      </c>
      <c r="B35" s="258" t="s">
        <v>469</v>
      </c>
      <c r="C35" s="259"/>
      <c r="D35" s="260"/>
      <c r="E35" s="259"/>
      <c r="F35" s="250"/>
      <c r="G35" s="250"/>
    </row>
    <row r="36" spans="1:7">
      <c r="A36" s="261">
        <v>2008</v>
      </c>
      <c r="B36" s="262">
        <v>13770000</v>
      </c>
      <c r="C36" s="261"/>
      <c r="E36" s="263"/>
      <c r="F36" s="250"/>
      <c r="G36" s="250"/>
    </row>
    <row r="37" spans="1:7">
      <c r="A37" s="261">
        <v>2009</v>
      </c>
      <c r="B37" s="264">
        <v>21273000</v>
      </c>
      <c r="C37" s="261"/>
      <c r="E37" s="263"/>
      <c r="F37" s="250"/>
      <c r="G37" s="250"/>
    </row>
    <row r="38" spans="1:7">
      <c r="A38" s="261">
        <v>2010</v>
      </c>
      <c r="B38" s="264">
        <v>24343000</v>
      </c>
      <c r="C38" s="261"/>
      <c r="E38" s="263"/>
      <c r="F38" s="250"/>
      <c r="G38" s="250"/>
    </row>
    <row r="39" spans="1:7">
      <c r="A39" s="261">
        <v>2011</v>
      </c>
      <c r="B39" s="265">
        <v>24580000</v>
      </c>
      <c r="C39" s="250"/>
      <c r="D39" s="250"/>
      <c r="E39" s="250"/>
      <c r="F39" s="250"/>
      <c r="G39" s="250"/>
    </row>
    <row r="40" spans="1:7">
      <c r="A40" s="261">
        <v>2012</v>
      </c>
      <c r="B40" s="265">
        <v>19570000</v>
      </c>
      <c r="C40" s="250"/>
      <c r="D40" s="250"/>
      <c r="E40" s="250"/>
      <c r="F40" s="250"/>
      <c r="G40" s="250"/>
    </row>
    <row r="41" spans="1:7">
      <c r="C41" s="250"/>
      <c r="D41" s="250"/>
      <c r="E41" s="250"/>
      <c r="F41" s="250"/>
      <c r="G41" s="250"/>
    </row>
  </sheetData>
  <printOptions horizontalCentered="1"/>
  <pageMargins left="0.75" right="0.75" top="1" bottom="1" header="0.5" footer="0.5"/>
  <pageSetup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sheetPr codeName="Sheet22"/>
  <dimension ref="A1:P197"/>
  <sheetViews>
    <sheetView zoomScaleNormal="100" workbookViewId="0">
      <selection activeCell="C19" sqref="C19"/>
    </sheetView>
  </sheetViews>
  <sheetFormatPr defaultColWidth="11.28515625" defaultRowHeight="12.75"/>
  <cols>
    <col min="1" max="1" width="22.85546875" style="327" customWidth="1"/>
    <col min="2" max="5" width="15.7109375" style="327" customWidth="1"/>
    <col min="6" max="6" width="15.7109375" style="337" customWidth="1"/>
    <col min="7" max="7" width="11.28515625" style="327"/>
    <col min="8" max="8" width="14.140625" style="327" bestFit="1" customWidth="1"/>
    <col min="9" max="16384" width="11.28515625" style="327"/>
  </cols>
  <sheetData>
    <row r="1" spans="1:7" s="320" customFormat="1" ht="17.45" customHeight="1">
      <c r="A1" s="319" t="s">
        <v>797</v>
      </c>
      <c r="B1" s="319"/>
      <c r="C1" s="319"/>
      <c r="D1" s="319"/>
      <c r="F1" s="321"/>
    </row>
    <row r="2" spans="1:7" s="320" customFormat="1" ht="15.6" customHeight="1">
      <c r="A2" s="322" t="s">
        <v>798</v>
      </c>
      <c r="B2" s="322"/>
      <c r="C2" s="322"/>
      <c r="D2" s="322"/>
      <c r="F2" s="321"/>
    </row>
    <row r="3" spans="1:7" s="320" customFormat="1" ht="13.5" thickBot="1">
      <c r="A3" s="323"/>
      <c r="B3" s="323"/>
      <c r="C3" s="323"/>
      <c r="D3" s="323"/>
      <c r="F3" s="321"/>
    </row>
    <row r="4" spans="1:7" ht="15" customHeight="1" thickTop="1">
      <c r="A4" s="324"/>
      <c r="B4" s="325" t="s">
        <v>44</v>
      </c>
      <c r="C4" s="325" t="s">
        <v>44</v>
      </c>
      <c r="D4" s="325" t="s">
        <v>44</v>
      </c>
      <c r="E4" s="326" t="s">
        <v>44</v>
      </c>
      <c r="F4" s="326" t="s">
        <v>44</v>
      </c>
    </row>
    <row r="5" spans="1:7" ht="13.15" customHeight="1">
      <c r="A5" s="328" t="s">
        <v>33</v>
      </c>
      <c r="B5" s="329">
        <v>2008</v>
      </c>
      <c r="C5" s="329">
        <v>2009</v>
      </c>
      <c r="D5" s="329">
        <v>2010</v>
      </c>
      <c r="E5" s="330">
        <v>2011</v>
      </c>
      <c r="F5" s="330">
        <v>2012</v>
      </c>
    </row>
    <row r="6" spans="1:7" s="334" customFormat="1" ht="10.7" customHeight="1">
      <c r="A6" s="331"/>
      <c r="B6" s="332"/>
      <c r="C6" s="332"/>
      <c r="D6" s="332"/>
      <c r="E6" s="332"/>
      <c r="F6" s="333"/>
    </row>
    <row r="7" spans="1:7" ht="13.15" customHeight="1">
      <c r="A7" s="335" t="s">
        <v>99</v>
      </c>
      <c r="B7" s="336">
        <v>1124784.44</v>
      </c>
      <c r="C7" s="336">
        <v>882027.6</v>
      </c>
      <c r="D7" s="336">
        <v>678623.5</v>
      </c>
      <c r="E7" s="336">
        <v>641445.5</v>
      </c>
      <c r="F7" s="337">
        <v>720725.18999999983</v>
      </c>
    </row>
    <row r="8" spans="1:7">
      <c r="A8" s="338" t="s">
        <v>101</v>
      </c>
      <c r="B8" s="339">
        <v>5819648.9299999997</v>
      </c>
      <c r="C8" s="339">
        <v>4509491.49</v>
      </c>
      <c r="D8" s="339">
        <v>4469166.78</v>
      </c>
      <c r="E8" s="339">
        <v>4586713.3600000003</v>
      </c>
      <c r="F8" s="340">
        <v>4763965.51</v>
      </c>
    </row>
    <row r="9" spans="1:7">
      <c r="A9" s="338" t="s">
        <v>103</v>
      </c>
      <c r="B9" s="339">
        <v>285012.25</v>
      </c>
      <c r="C9" s="339">
        <v>215106.5</v>
      </c>
      <c r="D9" s="339">
        <v>180934.75</v>
      </c>
      <c r="E9" s="339">
        <v>227420.75</v>
      </c>
      <c r="F9" s="340">
        <v>177944</v>
      </c>
    </row>
    <row r="10" spans="1:7">
      <c r="A10" s="338" t="s">
        <v>105</v>
      </c>
      <c r="B10" s="339">
        <v>428112.75</v>
      </c>
      <c r="C10" s="339">
        <v>279948.09999999998</v>
      </c>
      <c r="D10" s="339">
        <v>263413.25</v>
      </c>
      <c r="E10" s="339">
        <v>246277.25</v>
      </c>
      <c r="F10" s="340">
        <v>274474.25</v>
      </c>
    </row>
    <row r="11" spans="1:7">
      <c r="A11" s="338" t="s">
        <v>107</v>
      </c>
      <c r="B11" s="339">
        <v>721763.25</v>
      </c>
      <c r="C11" s="339">
        <v>584876</v>
      </c>
      <c r="D11" s="339">
        <v>499543.25</v>
      </c>
      <c r="E11" s="339">
        <v>528355.5</v>
      </c>
      <c r="F11" s="340">
        <v>447579.75</v>
      </c>
    </row>
    <row r="12" spans="1:7" ht="10.7" customHeight="1">
      <c r="A12" s="338"/>
      <c r="B12" s="339"/>
      <c r="C12" s="339"/>
      <c r="D12" s="339"/>
      <c r="E12" s="339"/>
      <c r="F12" s="340"/>
    </row>
    <row r="13" spans="1:7">
      <c r="A13" s="338" t="s">
        <v>109</v>
      </c>
      <c r="B13" s="339">
        <v>366555.75</v>
      </c>
      <c r="C13" s="339">
        <v>286719.25</v>
      </c>
      <c r="D13" s="339">
        <v>280814.75</v>
      </c>
      <c r="E13" s="339">
        <v>221251</v>
      </c>
      <c r="F13" s="340">
        <v>232950</v>
      </c>
    </row>
    <row r="14" spans="1:7">
      <c r="A14" s="338" t="s">
        <v>111</v>
      </c>
      <c r="B14" s="339">
        <v>23089630.429999981</v>
      </c>
      <c r="C14" s="339">
        <v>15592093.260000015</v>
      </c>
      <c r="D14" s="339">
        <v>17367518.820000008</v>
      </c>
      <c r="E14" s="339">
        <v>20720493.950000007</v>
      </c>
      <c r="F14" s="340">
        <v>22136296.549999993</v>
      </c>
    </row>
    <row r="15" spans="1:7">
      <c r="A15" s="338" t="s">
        <v>113</v>
      </c>
      <c r="B15" s="339">
        <v>2388166.75</v>
      </c>
      <c r="C15" s="339">
        <v>1926753.25</v>
      </c>
      <c r="D15" s="339">
        <v>1860806.25</v>
      </c>
      <c r="E15" s="339">
        <v>1696229.75</v>
      </c>
      <c r="F15" s="340">
        <v>1537878.5</v>
      </c>
    </row>
    <row r="16" spans="1:7">
      <c r="A16" s="338" t="s">
        <v>115</v>
      </c>
      <c r="B16" s="339">
        <v>165905.25</v>
      </c>
      <c r="C16" s="339">
        <v>131303.25</v>
      </c>
      <c r="D16" s="339">
        <v>116042.85</v>
      </c>
      <c r="E16" s="339">
        <v>117229.25</v>
      </c>
      <c r="F16" s="970">
        <v>163526.5</v>
      </c>
      <c r="G16" s="971"/>
    </row>
    <row r="17" spans="1:8">
      <c r="A17" s="338" t="s">
        <v>117</v>
      </c>
      <c r="B17" s="339">
        <v>3321243.25</v>
      </c>
      <c r="C17" s="339">
        <v>2410638</v>
      </c>
      <c r="D17" s="339">
        <v>2197957</v>
      </c>
      <c r="E17" s="339">
        <v>2030171.25</v>
      </c>
      <c r="F17" s="340">
        <v>2112587</v>
      </c>
    </row>
    <row r="18" spans="1:8" ht="10.7" customHeight="1">
      <c r="A18" s="338"/>
      <c r="B18" s="339"/>
      <c r="C18" s="339"/>
      <c r="D18" s="339"/>
      <c r="E18" s="339"/>
      <c r="F18" s="340"/>
    </row>
    <row r="19" spans="1:8">
      <c r="A19" s="338" t="s">
        <v>119</v>
      </c>
      <c r="B19" s="339">
        <v>103676.75</v>
      </c>
      <c r="C19" s="339">
        <v>97429.5</v>
      </c>
      <c r="D19" s="339">
        <v>71168</v>
      </c>
      <c r="E19" s="339">
        <v>95961.75</v>
      </c>
      <c r="F19" s="340">
        <v>85641.75</v>
      </c>
    </row>
    <row r="20" spans="1:8">
      <c r="A20" s="338" t="s">
        <v>121</v>
      </c>
      <c r="B20" s="339">
        <v>1309293.25</v>
      </c>
      <c r="C20" s="339">
        <v>1014666</v>
      </c>
      <c r="D20" s="339">
        <v>939205.25</v>
      </c>
      <c r="E20" s="339">
        <v>839630.75</v>
      </c>
      <c r="F20" s="340">
        <v>845594.5</v>
      </c>
    </row>
    <row r="21" spans="1:8">
      <c r="A21" s="338" t="s">
        <v>123</v>
      </c>
      <c r="B21" s="339">
        <v>345669.5</v>
      </c>
      <c r="C21" s="339">
        <v>232361</v>
      </c>
      <c r="D21" s="339">
        <v>185282.75</v>
      </c>
      <c r="E21" s="339">
        <v>200618.5</v>
      </c>
      <c r="F21" s="970">
        <v>308824.89</v>
      </c>
      <c r="G21" s="971"/>
    </row>
    <row r="22" spans="1:8" s="360" customFormat="1">
      <c r="A22" s="358" t="s">
        <v>125</v>
      </c>
      <c r="B22" s="359">
        <v>209853.63</v>
      </c>
      <c r="C22" s="359">
        <v>326989.94</v>
      </c>
      <c r="D22" s="359">
        <v>381120.5</v>
      </c>
      <c r="E22" s="359">
        <v>1177582.92</v>
      </c>
      <c r="F22" s="970">
        <v>274475.5</v>
      </c>
      <c r="G22" s="977"/>
      <c r="H22" s="976"/>
    </row>
    <row r="23" spans="1:8">
      <c r="A23" s="338" t="s">
        <v>127</v>
      </c>
      <c r="B23" s="339">
        <v>418044.6</v>
      </c>
      <c r="C23" s="339">
        <v>265846</v>
      </c>
      <c r="D23" s="339">
        <v>250711.25</v>
      </c>
      <c r="E23" s="339">
        <v>190713.75</v>
      </c>
      <c r="F23" s="340">
        <v>197647.75</v>
      </c>
      <c r="H23" s="975"/>
    </row>
    <row r="24" spans="1:8" ht="10.7" customHeight="1">
      <c r="A24" s="338"/>
      <c r="B24" s="339"/>
      <c r="C24" s="339"/>
      <c r="D24" s="339"/>
      <c r="E24" s="339"/>
      <c r="F24" s="340"/>
    </row>
    <row r="25" spans="1:8">
      <c r="A25" s="338" t="s">
        <v>129</v>
      </c>
      <c r="B25" s="339">
        <v>1316077.25</v>
      </c>
      <c r="C25" s="339">
        <v>1002176.5</v>
      </c>
      <c r="D25" s="339">
        <v>932939.25</v>
      </c>
      <c r="E25" s="339">
        <v>850637.5</v>
      </c>
      <c r="F25" s="340">
        <v>921533.5</v>
      </c>
      <c r="H25" s="976"/>
    </row>
    <row r="26" spans="1:8">
      <c r="A26" s="338" t="s">
        <v>131</v>
      </c>
      <c r="B26" s="339">
        <v>1673443.75</v>
      </c>
      <c r="C26" s="339">
        <v>1019774.98</v>
      </c>
      <c r="D26" s="339">
        <v>845395.25</v>
      </c>
      <c r="E26" s="339">
        <v>761103.75</v>
      </c>
      <c r="F26" s="340">
        <v>742514.25</v>
      </c>
    </row>
    <row r="27" spans="1:8">
      <c r="A27" s="338" t="s">
        <v>133</v>
      </c>
      <c r="B27" s="339">
        <v>621844.89</v>
      </c>
      <c r="C27" s="339">
        <v>447435.15</v>
      </c>
      <c r="D27" s="339">
        <v>397483.75</v>
      </c>
      <c r="E27" s="339">
        <v>422952.75</v>
      </c>
      <c r="F27" s="340">
        <v>378906.5</v>
      </c>
    </row>
    <row r="28" spans="1:8">
      <c r="A28" s="338" t="s">
        <v>135</v>
      </c>
      <c r="B28" s="339">
        <v>211934.25</v>
      </c>
      <c r="C28" s="339">
        <v>164460.82999999999</v>
      </c>
      <c r="D28" s="339">
        <v>109739</v>
      </c>
      <c r="E28" s="339">
        <v>137502.5</v>
      </c>
      <c r="F28" s="340">
        <v>115117</v>
      </c>
    </row>
    <row r="29" spans="1:8">
      <c r="A29" s="338" t="s">
        <v>137</v>
      </c>
      <c r="B29" s="339">
        <v>189902</v>
      </c>
      <c r="C29" s="339">
        <v>138642</v>
      </c>
      <c r="D29" s="339">
        <v>139537</v>
      </c>
      <c r="E29" s="339">
        <v>150055.25</v>
      </c>
      <c r="F29" s="340">
        <v>129331.75</v>
      </c>
    </row>
    <row r="30" spans="1:8" ht="10.7" customHeight="1">
      <c r="A30" s="338"/>
      <c r="B30" s="339"/>
      <c r="C30" s="339"/>
      <c r="D30" s="339"/>
      <c r="E30" s="339"/>
      <c r="F30" s="340"/>
    </row>
    <row r="31" spans="1:8">
      <c r="A31" s="338" t="s">
        <v>139</v>
      </c>
      <c r="B31" s="339">
        <v>16976094.899999999</v>
      </c>
      <c r="C31" s="339">
        <v>11985723.560000001</v>
      </c>
      <c r="D31" s="339">
        <v>10824566.449999999</v>
      </c>
      <c r="E31" s="339">
        <v>9560447.7999999989</v>
      </c>
      <c r="F31" s="340">
        <v>11072962.15</v>
      </c>
    </row>
    <row r="32" spans="1:8">
      <c r="A32" s="338" t="s">
        <v>141</v>
      </c>
      <c r="B32" s="339">
        <v>689423.25</v>
      </c>
      <c r="C32" s="339">
        <v>549927.75</v>
      </c>
      <c r="D32" s="339">
        <v>534618.25</v>
      </c>
      <c r="E32" s="339">
        <v>534960</v>
      </c>
      <c r="F32" s="340">
        <v>586903.25</v>
      </c>
    </row>
    <row r="33" spans="1:6">
      <c r="A33" s="338" t="s">
        <v>143</v>
      </c>
      <c r="B33" s="339">
        <v>141358.88</v>
      </c>
      <c r="C33" s="339">
        <v>101997.5</v>
      </c>
      <c r="D33" s="339">
        <v>80867.25</v>
      </c>
      <c r="E33" s="339">
        <v>65074.5</v>
      </c>
      <c r="F33" s="340">
        <v>84821.33</v>
      </c>
    </row>
    <row r="34" spans="1:6">
      <c r="A34" s="338" t="s">
        <v>145</v>
      </c>
      <c r="B34" s="339">
        <v>2382265.7000000002</v>
      </c>
      <c r="C34" s="339">
        <v>2000318.25</v>
      </c>
      <c r="D34" s="339">
        <v>1438696.75</v>
      </c>
      <c r="E34" s="339">
        <v>1336838</v>
      </c>
      <c r="F34" s="340">
        <v>1470436</v>
      </c>
    </row>
    <row r="35" spans="1:6">
      <c r="A35" s="338" t="s">
        <v>147</v>
      </c>
      <c r="B35" s="339">
        <v>235502.75</v>
      </c>
      <c r="C35" s="339">
        <v>170062.25</v>
      </c>
      <c r="D35" s="339">
        <v>146741.75</v>
      </c>
      <c r="E35" s="339">
        <v>136456</v>
      </c>
      <c r="F35" s="340">
        <v>119015</v>
      </c>
    </row>
    <row r="36" spans="1:6" ht="10.7" customHeight="1">
      <c r="A36" s="338"/>
      <c r="B36" s="339"/>
      <c r="C36" s="339"/>
      <c r="D36" s="339"/>
      <c r="E36" s="339"/>
      <c r="F36" s="340"/>
    </row>
    <row r="37" spans="1:6">
      <c r="A37" s="338" t="s">
        <v>149</v>
      </c>
      <c r="B37" s="339">
        <v>530489.76</v>
      </c>
      <c r="C37" s="339">
        <v>124644.64</v>
      </c>
      <c r="D37" s="339">
        <v>84526.75</v>
      </c>
      <c r="E37" s="339">
        <v>81536.75</v>
      </c>
      <c r="F37" s="340">
        <v>77622.75</v>
      </c>
    </row>
    <row r="38" spans="1:6">
      <c r="A38" s="338" t="s">
        <v>151</v>
      </c>
      <c r="B38" s="339">
        <v>786804.75</v>
      </c>
      <c r="C38" s="339">
        <v>613164</v>
      </c>
      <c r="D38" s="339">
        <v>544861.75</v>
      </c>
      <c r="E38" s="339">
        <v>405190</v>
      </c>
      <c r="F38" s="340">
        <v>529712.25</v>
      </c>
    </row>
    <row r="39" spans="1:6">
      <c r="A39" s="338" t="s">
        <v>153</v>
      </c>
      <c r="B39" s="339">
        <v>404021.5</v>
      </c>
      <c r="C39" s="339">
        <v>312030.25</v>
      </c>
      <c r="D39" s="339">
        <v>298695.03000000003</v>
      </c>
      <c r="E39" s="339">
        <v>225365.25</v>
      </c>
      <c r="F39" s="340">
        <v>226897.5</v>
      </c>
    </row>
    <row r="40" spans="1:6">
      <c r="A40" s="338" t="s">
        <v>155</v>
      </c>
      <c r="B40" s="339">
        <v>81293931.789999992</v>
      </c>
      <c r="C40" s="339">
        <v>68497921.459999993</v>
      </c>
      <c r="D40" s="339">
        <v>68070793.520000011</v>
      </c>
      <c r="E40" s="339">
        <v>73424665.420000017</v>
      </c>
      <c r="F40" s="340">
        <v>87954188.049999997</v>
      </c>
    </row>
    <row r="41" spans="1:6">
      <c r="A41" s="338" t="s">
        <v>157</v>
      </c>
      <c r="B41" s="339">
        <v>4271069.6399999997</v>
      </c>
      <c r="C41" s="339">
        <v>3326807.77</v>
      </c>
      <c r="D41" s="339">
        <v>3025386.75</v>
      </c>
      <c r="E41" s="339">
        <v>3065485.5</v>
      </c>
      <c r="F41" s="340">
        <v>3313117.6</v>
      </c>
    </row>
    <row r="42" spans="1:6" ht="18">
      <c r="A42" s="1075" t="s">
        <v>799</v>
      </c>
      <c r="B42" s="1075"/>
      <c r="C42" s="1075"/>
      <c r="D42" s="1075"/>
    </row>
    <row r="43" spans="1:6" ht="15.75">
      <c r="A43" s="1076" t="s">
        <v>798</v>
      </c>
      <c r="B43" s="1076"/>
      <c r="C43" s="1076"/>
      <c r="D43" s="1076"/>
    </row>
    <row r="44" spans="1:6" ht="13.5" thickBot="1">
      <c r="A44" s="341"/>
      <c r="B44" s="341"/>
      <c r="C44" s="341"/>
      <c r="D44" s="341"/>
    </row>
    <row r="45" spans="1:6" ht="15" customHeight="1" thickTop="1">
      <c r="A45" s="324"/>
      <c r="B45" s="325" t="s">
        <v>44</v>
      </c>
      <c r="C45" s="325" t="s">
        <v>44</v>
      </c>
      <c r="D45" s="325" t="s">
        <v>44</v>
      </c>
      <c r="E45" s="325" t="s">
        <v>44</v>
      </c>
      <c r="F45" s="325" t="s">
        <v>44</v>
      </c>
    </row>
    <row r="46" spans="1:6">
      <c r="A46" s="328" t="s">
        <v>33</v>
      </c>
      <c r="B46" s="329">
        <v>2008</v>
      </c>
      <c r="C46" s="329">
        <v>2009</v>
      </c>
      <c r="D46" s="329">
        <v>2010</v>
      </c>
      <c r="E46" s="329">
        <v>2011</v>
      </c>
      <c r="F46" s="329">
        <v>2012</v>
      </c>
    </row>
    <row r="47" spans="1:6" s="334" customFormat="1" ht="10.7" customHeight="1">
      <c r="A47" s="331"/>
      <c r="B47" s="342"/>
      <c r="C47" s="342"/>
      <c r="D47" s="342"/>
      <c r="E47" s="342"/>
      <c r="F47" s="333"/>
    </row>
    <row r="48" spans="1:6">
      <c r="A48" s="338" t="s">
        <v>159</v>
      </c>
      <c r="B48" s="336">
        <v>380920.75</v>
      </c>
      <c r="C48" s="336">
        <v>250965.5</v>
      </c>
      <c r="D48" s="336">
        <v>226638.25</v>
      </c>
      <c r="E48" s="337">
        <v>224304.87</v>
      </c>
      <c r="F48" s="337">
        <v>238670.75</v>
      </c>
    </row>
    <row r="49" spans="1:6">
      <c r="A49" s="338" t="s">
        <v>161</v>
      </c>
      <c r="B49" s="339">
        <v>1264563</v>
      </c>
      <c r="C49" s="339">
        <v>919673.25</v>
      </c>
      <c r="D49" s="339">
        <v>848280.25</v>
      </c>
      <c r="E49" s="340">
        <v>804245.5</v>
      </c>
      <c r="F49" s="340">
        <v>817203</v>
      </c>
    </row>
    <row r="50" spans="1:6">
      <c r="A50" s="338" t="s">
        <v>36</v>
      </c>
      <c r="B50" s="339">
        <v>2202755.58</v>
      </c>
      <c r="C50" s="339">
        <v>1965390.51</v>
      </c>
      <c r="D50" s="339">
        <v>1708694.75</v>
      </c>
      <c r="E50" s="340">
        <v>1713479.25</v>
      </c>
      <c r="F50" s="340">
        <v>1538017</v>
      </c>
    </row>
    <row r="51" spans="1:6">
      <c r="A51" s="338" t="s">
        <v>164</v>
      </c>
      <c r="B51" s="339">
        <v>4485637.79</v>
      </c>
      <c r="C51" s="339">
        <v>3143688</v>
      </c>
      <c r="D51" s="339">
        <v>2889188.25</v>
      </c>
      <c r="E51" s="340">
        <v>2553236.5499999998</v>
      </c>
      <c r="F51" s="340">
        <v>2561460.5499999998</v>
      </c>
    </row>
    <row r="52" spans="1:6">
      <c r="A52" s="338" t="s">
        <v>166</v>
      </c>
      <c r="B52" s="339">
        <v>364295</v>
      </c>
      <c r="C52" s="339">
        <v>241110.84</v>
      </c>
      <c r="D52" s="339">
        <v>222554</v>
      </c>
      <c r="E52" s="340">
        <v>203032.75</v>
      </c>
      <c r="F52" s="340">
        <v>208994.5</v>
      </c>
    </row>
    <row r="53" spans="1:6" ht="10.7" customHeight="1">
      <c r="A53" s="338"/>
      <c r="B53" s="339"/>
      <c r="C53" s="339"/>
      <c r="D53" s="339"/>
      <c r="E53" s="340"/>
      <c r="F53" s="340"/>
    </row>
    <row r="54" spans="1:6">
      <c r="A54" s="338" t="s">
        <v>637</v>
      </c>
      <c r="B54" s="339">
        <v>1757986.25</v>
      </c>
      <c r="C54" s="339">
        <v>1332199.25</v>
      </c>
      <c r="D54" s="339">
        <v>1206435.5</v>
      </c>
      <c r="E54" s="340">
        <v>1011234.25</v>
      </c>
      <c r="F54" s="340">
        <v>935331.67</v>
      </c>
    </row>
    <row r="55" spans="1:6">
      <c r="A55" s="338" t="s">
        <v>639</v>
      </c>
      <c r="B55" s="339">
        <v>1771543.52</v>
      </c>
      <c r="C55" s="339">
        <v>1079272</v>
      </c>
      <c r="D55" s="339">
        <v>971629.5</v>
      </c>
      <c r="E55" s="340">
        <v>940571.5</v>
      </c>
      <c r="F55" s="340">
        <v>958028.75</v>
      </c>
    </row>
    <row r="56" spans="1:6">
      <c r="A56" s="338" t="s">
        <v>641</v>
      </c>
      <c r="B56" s="339">
        <v>408832.25</v>
      </c>
      <c r="C56" s="339">
        <v>252497.5</v>
      </c>
      <c r="D56" s="339">
        <v>210508.75</v>
      </c>
      <c r="E56" s="340">
        <v>220338.25</v>
      </c>
      <c r="F56" s="340">
        <v>202695.75</v>
      </c>
    </row>
    <row r="57" spans="1:6">
      <c r="A57" s="338" t="s">
        <v>106</v>
      </c>
      <c r="B57" s="339">
        <v>1006097.25</v>
      </c>
      <c r="C57" s="339">
        <v>670072.75</v>
      </c>
      <c r="D57" s="339">
        <v>626577.75</v>
      </c>
      <c r="E57" s="340">
        <v>556614.25</v>
      </c>
      <c r="F57" s="340">
        <v>550490.5</v>
      </c>
    </row>
    <row r="58" spans="1:6">
      <c r="A58" s="338" t="s">
        <v>647</v>
      </c>
      <c r="B58" s="339">
        <v>167482.25</v>
      </c>
      <c r="C58" s="339">
        <v>95956</v>
      </c>
      <c r="D58" s="339">
        <v>87417.5</v>
      </c>
      <c r="E58" s="340">
        <v>93189.75</v>
      </c>
      <c r="F58" s="340">
        <v>100098.5</v>
      </c>
    </row>
    <row r="59" spans="1:6" ht="10.7" customHeight="1">
      <c r="B59" s="339"/>
      <c r="C59" s="339"/>
      <c r="D59" s="339"/>
      <c r="E59" s="340"/>
      <c r="F59" s="340"/>
    </row>
    <row r="60" spans="1:6" s="344" customFormat="1">
      <c r="A60" s="335" t="s">
        <v>800</v>
      </c>
      <c r="B60" s="343">
        <v>652810.75</v>
      </c>
      <c r="C60" s="343">
        <v>444967.75</v>
      </c>
      <c r="D60" s="339">
        <v>415995.25</v>
      </c>
      <c r="E60" s="340">
        <v>393328.25</v>
      </c>
      <c r="F60" s="340">
        <v>336149</v>
      </c>
    </row>
    <row r="61" spans="1:6" s="344" customFormat="1">
      <c r="A61" s="338" t="s">
        <v>112</v>
      </c>
      <c r="B61" s="343">
        <v>5431855.2599999998</v>
      </c>
      <c r="C61" s="343">
        <v>3899275.26</v>
      </c>
      <c r="D61" s="339">
        <v>3475129</v>
      </c>
      <c r="E61" s="340">
        <v>3316689.36</v>
      </c>
      <c r="F61" s="340">
        <v>3563567.14</v>
      </c>
    </row>
    <row r="62" spans="1:6" s="344" customFormat="1">
      <c r="A62" s="338" t="s">
        <v>114</v>
      </c>
      <c r="B62" s="343">
        <v>16332235.340000002</v>
      </c>
      <c r="C62" s="343">
        <v>10798632.260000002</v>
      </c>
      <c r="D62" s="339">
        <v>9973856.1500000004</v>
      </c>
      <c r="E62" s="340">
        <v>10107527.550000001</v>
      </c>
      <c r="F62" s="340">
        <v>11694429.719999999</v>
      </c>
    </row>
    <row r="63" spans="1:6" s="344" customFormat="1">
      <c r="A63" s="338" t="s">
        <v>116</v>
      </c>
      <c r="B63" s="343">
        <v>759978.25</v>
      </c>
      <c r="C63" s="343">
        <v>540908.5</v>
      </c>
      <c r="D63" s="339">
        <v>658945.22</v>
      </c>
      <c r="E63" s="340">
        <v>513302.5</v>
      </c>
      <c r="F63" s="340">
        <v>510408.5</v>
      </c>
    </row>
    <row r="64" spans="1:6" s="344" customFormat="1">
      <c r="A64" s="338" t="s">
        <v>118</v>
      </c>
      <c r="B64" s="343">
        <v>103105.75</v>
      </c>
      <c r="C64" s="343">
        <v>99825.5</v>
      </c>
      <c r="D64" s="339">
        <v>61481.25</v>
      </c>
      <c r="E64" s="340">
        <v>65104.5</v>
      </c>
      <c r="F64" s="340">
        <v>55117</v>
      </c>
    </row>
    <row r="65" spans="1:6" s="344" customFormat="1" ht="10.7" customHeight="1">
      <c r="A65" s="338"/>
      <c r="B65" s="343"/>
      <c r="C65" s="343"/>
      <c r="D65" s="339"/>
      <c r="E65" s="345"/>
      <c r="F65" s="345"/>
    </row>
    <row r="66" spans="1:6">
      <c r="A66" s="338" t="s">
        <v>120</v>
      </c>
      <c r="B66" s="339">
        <v>1675851.96</v>
      </c>
      <c r="C66" s="339">
        <v>1505546.5</v>
      </c>
      <c r="D66" s="339">
        <v>1398963.19</v>
      </c>
      <c r="E66" s="340">
        <v>1180412.2</v>
      </c>
      <c r="F66" s="340">
        <v>1357434.77</v>
      </c>
    </row>
    <row r="67" spans="1:6">
      <c r="A67" s="338" t="s">
        <v>122</v>
      </c>
      <c r="B67" s="339">
        <v>5475597.96</v>
      </c>
      <c r="C67" s="339">
        <v>4167051.62</v>
      </c>
      <c r="D67" s="339">
        <v>3776590.65</v>
      </c>
      <c r="E67" s="340">
        <v>3888807.03</v>
      </c>
      <c r="F67" s="340">
        <v>3839907.91</v>
      </c>
    </row>
    <row r="68" spans="1:6">
      <c r="A68" s="338" t="s">
        <v>124</v>
      </c>
      <c r="B68" s="339">
        <v>242451.5</v>
      </c>
      <c r="C68" s="339">
        <v>179413.75</v>
      </c>
      <c r="D68" s="339">
        <v>244561.5</v>
      </c>
      <c r="E68" s="340">
        <v>126311.25</v>
      </c>
      <c r="F68" s="340">
        <v>125841</v>
      </c>
    </row>
    <row r="69" spans="1:6">
      <c r="A69" s="338" t="s">
        <v>126</v>
      </c>
      <c r="B69" s="339">
        <v>1348192.5</v>
      </c>
      <c r="C69" s="339">
        <v>991506.36</v>
      </c>
      <c r="D69" s="339">
        <v>979390.5</v>
      </c>
      <c r="E69" s="340">
        <v>773290.68</v>
      </c>
      <c r="F69" s="340">
        <v>833583.75</v>
      </c>
    </row>
    <row r="70" spans="1:6">
      <c r="A70" s="338" t="s">
        <v>128</v>
      </c>
      <c r="B70" s="339">
        <v>794884.2</v>
      </c>
      <c r="C70" s="339">
        <v>537959</v>
      </c>
      <c r="D70" s="339">
        <v>419812.75</v>
      </c>
      <c r="E70" s="340">
        <v>373992.25</v>
      </c>
      <c r="F70" s="340">
        <v>421910.9</v>
      </c>
    </row>
    <row r="71" spans="1:6" ht="10.7" customHeight="1">
      <c r="A71" s="338"/>
      <c r="B71" s="339"/>
      <c r="C71" s="339"/>
      <c r="D71" s="339"/>
      <c r="E71" s="340"/>
      <c r="F71" s="340"/>
    </row>
    <row r="72" spans="1:6">
      <c r="A72" s="338" t="s">
        <v>130</v>
      </c>
      <c r="B72" s="339">
        <v>699424.45</v>
      </c>
      <c r="C72" s="339">
        <v>554898.25</v>
      </c>
      <c r="D72" s="339">
        <v>529642.25</v>
      </c>
      <c r="E72" s="340">
        <v>517330</v>
      </c>
      <c r="F72" s="340">
        <v>572171.25</v>
      </c>
    </row>
    <row r="73" spans="1:6">
      <c r="A73" s="338" t="s">
        <v>132</v>
      </c>
      <c r="B73" s="339">
        <v>244320.25</v>
      </c>
      <c r="C73" s="339">
        <v>258580</v>
      </c>
      <c r="D73" s="339">
        <v>215473.75</v>
      </c>
      <c r="E73" s="340">
        <v>175688.58</v>
      </c>
      <c r="F73" s="340">
        <v>195846.75</v>
      </c>
    </row>
    <row r="74" spans="1:6">
      <c r="A74" s="338" t="s">
        <v>134</v>
      </c>
      <c r="B74" s="339">
        <v>31102251.689999998</v>
      </c>
      <c r="C74" s="339">
        <v>24937733.23</v>
      </c>
      <c r="D74" s="339">
        <v>25148911.18</v>
      </c>
      <c r="E74" s="340">
        <v>26690653.099999998</v>
      </c>
      <c r="F74" s="340">
        <v>29957486.769999996</v>
      </c>
    </row>
    <row r="75" spans="1:6">
      <c r="A75" s="338" t="s">
        <v>136</v>
      </c>
      <c r="B75" s="339">
        <v>1906375</v>
      </c>
      <c r="C75" s="339">
        <v>1536446.5</v>
      </c>
      <c r="D75" s="339">
        <v>1375806.33</v>
      </c>
      <c r="E75" s="340">
        <v>1064196.5</v>
      </c>
      <c r="F75" s="340">
        <v>1168955.05</v>
      </c>
    </row>
    <row r="76" spans="1:6">
      <c r="A76" s="338" t="s">
        <v>138</v>
      </c>
      <c r="B76" s="339">
        <v>199356.79999999999</v>
      </c>
      <c r="C76" s="339">
        <v>132378.57999999999</v>
      </c>
      <c r="D76" s="339">
        <v>120483.51</v>
      </c>
      <c r="E76" s="340">
        <v>105835.4</v>
      </c>
      <c r="F76" s="340">
        <v>95328</v>
      </c>
    </row>
    <row r="77" spans="1:6" ht="10.7" customHeight="1">
      <c r="A77" s="338"/>
      <c r="B77" s="339"/>
      <c r="C77" s="339"/>
      <c r="D77" s="339"/>
      <c r="E77" s="340"/>
      <c r="F77" s="340"/>
    </row>
    <row r="78" spans="1:6">
      <c r="A78" s="338" t="s">
        <v>140</v>
      </c>
      <c r="B78" s="339">
        <v>538355</v>
      </c>
      <c r="C78" s="339">
        <v>395637</v>
      </c>
      <c r="D78" s="339">
        <v>328207.5</v>
      </c>
      <c r="E78" s="340">
        <v>333686.75</v>
      </c>
      <c r="F78" s="340">
        <v>388945.5</v>
      </c>
    </row>
    <row r="79" spans="1:6">
      <c r="A79" s="338" t="s">
        <v>142</v>
      </c>
      <c r="B79" s="339">
        <v>546604.25</v>
      </c>
      <c r="C79" s="339">
        <v>327216.25</v>
      </c>
      <c r="D79" s="339">
        <v>309480.25</v>
      </c>
      <c r="E79" s="340">
        <v>303176</v>
      </c>
      <c r="F79" s="340">
        <v>308798.75</v>
      </c>
    </row>
    <row r="80" spans="1:6">
      <c r="A80" s="338" t="s">
        <v>144</v>
      </c>
      <c r="B80" s="339">
        <v>1057119.75</v>
      </c>
      <c r="C80" s="339">
        <v>701622.16</v>
      </c>
      <c r="D80" s="339">
        <v>586999.75</v>
      </c>
      <c r="E80" s="340">
        <v>614744.25</v>
      </c>
      <c r="F80" s="340">
        <v>574368</v>
      </c>
    </row>
    <row r="81" spans="1:6">
      <c r="A81" s="338" t="s">
        <v>146</v>
      </c>
      <c r="B81" s="339">
        <v>637387.5</v>
      </c>
      <c r="C81" s="339">
        <v>462148.5</v>
      </c>
      <c r="D81" s="339">
        <v>397218</v>
      </c>
      <c r="E81" s="340">
        <v>457231.75</v>
      </c>
      <c r="F81" s="340">
        <v>407509.25</v>
      </c>
    </row>
    <row r="82" spans="1:6">
      <c r="A82" s="338" t="s">
        <v>148</v>
      </c>
      <c r="B82" s="339">
        <v>3053612.76</v>
      </c>
      <c r="C82" s="339">
        <v>2350128.7200000002</v>
      </c>
      <c r="D82" s="339">
        <v>2080302.5</v>
      </c>
      <c r="E82" s="340">
        <v>1986099.17</v>
      </c>
      <c r="F82" s="340">
        <v>1968488.75</v>
      </c>
    </row>
    <row r="83" spans="1:6" ht="18">
      <c r="A83" s="1075" t="s">
        <v>799</v>
      </c>
      <c r="B83" s="1075"/>
      <c r="C83" s="1075"/>
      <c r="D83" s="1075"/>
      <c r="E83" s="346"/>
    </row>
    <row r="84" spans="1:6" ht="15.75">
      <c r="A84" s="1076" t="s">
        <v>798</v>
      </c>
      <c r="B84" s="1076"/>
      <c r="C84" s="1076"/>
      <c r="D84" s="1076"/>
    </row>
    <row r="85" spans="1:6" ht="13.5" thickBot="1">
      <c r="A85" s="341"/>
      <c r="B85" s="341"/>
      <c r="C85" s="341"/>
      <c r="D85" s="341"/>
    </row>
    <row r="86" spans="1:6" ht="15" customHeight="1" thickTop="1">
      <c r="A86" s="324"/>
      <c r="B86" s="325" t="s">
        <v>44</v>
      </c>
      <c r="C86" s="325" t="s">
        <v>44</v>
      </c>
      <c r="D86" s="325" t="s">
        <v>44</v>
      </c>
      <c r="E86" s="325" t="s">
        <v>44</v>
      </c>
      <c r="F86" s="325" t="s">
        <v>44</v>
      </c>
    </row>
    <row r="87" spans="1:6">
      <c r="A87" s="328" t="s">
        <v>33</v>
      </c>
      <c r="B87" s="329">
        <v>2008</v>
      </c>
      <c r="C87" s="329">
        <v>2009</v>
      </c>
      <c r="D87" s="329">
        <v>2010</v>
      </c>
      <c r="E87" s="329">
        <v>2011</v>
      </c>
      <c r="F87" s="329">
        <v>2012</v>
      </c>
    </row>
    <row r="88" spans="1:6" s="334" customFormat="1" ht="10.7" customHeight="1">
      <c r="A88" s="331"/>
      <c r="B88" s="342"/>
      <c r="C88" s="342"/>
      <c r="D88" s="342"/>
      <c r="E88" s="342"/>
      <c r="F88" s="333"/>
    </row>
    <row r="89" spans="1:6">
      <c r="A89" s="338" t="s">
        <v>150</v>
      </c>
      <c r="B89" s="336">
        <v>808814.61</v>
      </c>
      <c r="C89" s="336">
        <v>623208.5</v>
      </c>
      <c r="D89" s="336">
        <v>625045.26</v>
      </c>
      <c r="E89" s="337">
        <v>641506.99</v>
      </c>
      <c r="F89" s="337">
        <v>496411.15</v>
      </c>
    </row>
    <row r="90" spans="1:6">
      <c r="A90" s="338" t="s">
        <v>152</v>
      </c>
      <c r="B90" s="339">
        <v>1077136</v>
      </c>
      <c r="C90" s="339">
        <v>820013.52</v>
      </c>
      <c r="D90" s="339">
        <v>814941.65</v>
      </c>
      <c r="E90" s="340">
        <v>690994.75</v>
      </c>
      <c r="F90" s="340">
        <v>748177.5</v>
      </c>
    </row>
    <row r="91" spans="1:6">
      <c r="A91" s="338" t="s">
        <v>154</v>
      </c>
      <c r="B91" s="339">
        <v>673147.6</v>
      </c>
      <c r="C91" s="339">
        <v>468316.7</v>
      </c>
      <c r="D91" s="339">
        <v>472126.25</v>
      </c>
      <c r="E91" s="340">
        <v>403906.3</v>
      </c>
      <c r="F91" s="340">
        <v>357643.25</v>
      </c>
    </row>
    <row r="92" spans="1:6">
      <c r="A92" s="338" t="s">
        <v>156</v>
      </c>
      <c r="B92" s="339">
        <v>802048.95</v>
      </c>
      <c r="C92" s="339">
        <v>699667.75</v>
      </c>
      <c r="D92" s="339">
        <v>546615</v>
      </c>
      <c r="E92" s="340">
        <v>508041.5</v>
      </c>
      <c r="F92" s="340">
        <v>508848.75</v>
      </c>
    </row>
    <row r="93" spans="1:6">
      <c r="A93" s="338" t="s">
        <v>158</v>
      </c>
      <c r="B93" s="339">
        <v>275189</v>
      </c>
      <c r="C93" s="339">
        <v>211521.43</v>
      </c>
      <c r="D93" s="339">
        <v>151051.25</v>
      </c>
      <c r="E93" s="340">
        <v>135411</v>
      </c>
      <c r="F93" s="340">
        <v>153634.01</v>
      </c>
    </row>
    <row r="94" spans="1:6" ht="10.7" customHeight="1">
      <c r="A94" s="338"/>
      <c r="B94" s="339"/>
      <c r="C94" s="339"/>
      <c r="D94" s="339"/>
      <c r="E94" s="340"/>
      <c r="F94" s="340"/>
    </row>
    <row r="95" spans="1:6">
      <c r="A95" s="338" t="s">
        <v>160</v>
      </c>
      <c r="B95" s="339">
        <v>1816582.9</v>
      </c>
      <c r="C95" s="339">
        <v>1232698.75</v>
      </c>
      <c r="D95" s="339">
        <v>1180274</v>
      </c>
      <c r="E95" s="340">
        <v>1018577.5</v>
      </c>
      <c r="F95" s="340">
        <v>1025984.5</v>
      </c>
    </row>
    <row r="96" spans="1:6">
      <c r="A96" s="338" t="s">
        <v>162</v>
      </c>
      <c r="B96" s="339">
        <v>601574</v>
      </c>
      <c r="C96" s="339">
        <v>434691.25</v>
      </c>
      <c r="D96" s="339">
        <v>382656.75</v>
      </c>
      <c r="E96" s="340">
        <v>290794.5</v>
      </c>
      <c r="F96" s="340">
        <v>322108.75</v>
      </c>
    </row>
    <row r="97" spans="1:6">
      <c r="A97" s="338" t="s">
        <v>163</v>
      </c>
      <c r="B97" s="339">
        <v>358513.75</v>
      </c>
      <c r="C97" s="339">
        <v>246964.25</v>
      </c>
      <c r="D97" s="339">
        <v>240272.5</v>
      </c>
      <c r="E97" s="340">
        <v>197477.5</v>
      </c>
      <c r="F97" s="340">
        <v>217151.5</v>
      </c>
    </row>
    <row r="98" spans="1:6">
      <c r="A98" s="338" t="s">
        <v>165</v>
      </c>
      <c r="B98" s="339">
        <v>1056526.06</v>
      </c>
      <c r="C98" s="339">
        <v>791768.19</v>
      </c>
      <c r="D98" s="339">
        <v>701324.78</v>
      </c>
      <c r="E98" s="340">
        <v>722157.54</v>
      </c>
      <c r="F98" s="340">
        <v>707048.41</v>
      </c>
    </row>
    <row r="99" spans="1:6">
      <c r="A99" s="338" t="s">
        <v>167</v>
      </c>
      <c r="B99" s="339">
        <v>1472612.78</v>
      </c>
      <c r="C99" s="339">
        <v>1155375.71</v>
      </c>
      <c r="D99" s="339">
        <v>940374.13</v>
      </c>
      <c r="E99" s="340">
        <v>871622</v>
      </c>
      <c r="F99" s="340">
        <v>931488.26</v>
      </c>
    </row>
    <row r="100" spans="1:6" ht="10.7" customHeight="1">
      <c r="A100" s="338"/>
      <c r="B100" s="339"/>
      <c r="C100" s="339"/>
      <c r="D100" s="339"/>
      <c r="E100" s="340"/>
      <c r="F100" s="340"/>
    </row>
    <row r="101" spans="1:6">
      <c r="A101" s="338" t="s">
        <v>168</v>
      </c>
      <c r="B101" s="339">
        <v>508849.05</v>
      </c>
      <c r="C101" s="339">
        <v>422488.25</v>
      </c>
      <c r="D101" s="339">
        <v>302992.5</v>
      </c>
      <c r="E101" s="340">
        <v>276605.25</v>
      </c>
      <c r="F101" s="340">
        <v>231958.25</v>
      </c>
    </row>
    <row r="102" spans="1:6">
      <c r="A102" s="338" t="s">
        <v>170</v>
      </c>
      <c r="B102" s="339">
        <v>1540279.9</v>
      </c>
      <c r="C102" s="339">
        <v>826140</v>
      </c>
      <c r="D102" s="339">
        <v>709065</v>
      </c>
      <c r="E102" s="340">
        <v>664781.18999999994</v>
      </c>
      <c r="F102" s="340">
        <v>765907.25</v>
      </c>
    </row>
    <row r="103" spans="1:6">
      <c r="A103" s="338" t="s">
        <v>172</v>
      </c>
      <c r="B103" s="339">
        <v>31100664.699999996</v>
      </c>
      <c r="C103" s="339">
        <v>27283365.379999995</v>
      </c>
      <c r="D103" s="339">
        <v>21066031.139999989</v>
      </c>
      <c r="E103" s="340">
        <v>20460092.420000009</v>
      </c>
      <c r="F103" s="340">
        <v>22379391.109999996</v>
      </c>
    </row>
    <row r="104" spans="1:6">
      <c r="A104" s="338" t="s">
        <v>174</v>
      </c>
      <c r="B104" s="339">
        <v>858592.25</v>
      </c>
      <c r="C104" s="339">
        <v>588557.75</v>
      </c>
      <c r="D104" s="339">
        <v>544945.75</v>
      </c>
      <c r="E104" s="340">
        <v>523701</v>
      </c>
      <c r="F104" s="340">
        <v>552427.75</v>
      </c>
    </row>
    <row r="105" spans="1:6">
      <c r="A105" s="338" t="s">
        <v>176</v>
      </c>
      <c r="B105" s="339">
        <v>374184.25</v>
      </c>
      <c r="C105" s="339">
        <v>410209</v>
      </c>
      <c r="D105" s="339">
        <v>296775</v>
      </c>
      <c r="E105" s="340">
        <v>334808.75</v>
      </c>
      <c r="F105" s="340">
        <v>381331.75</v>
      </c>
    </row>
    <row r="106" spans="1:6" ht="10.7" customHeight="1">
      <c r="A106" s="338"/>
      <c r="B106" s="339"/>
      <c r="C106" s="339"/>
      <c r="D106" s="339"/>
      <c r="E106" s="340"/>
      <c r="F106" s="340"/>
    </row>
    <row r="107" spans="1:6">
      <c r="A107" s="338" t="s">
        <v>178</v>
      </c>
      <c r="B107" s="339">
        <v>189973</v>
      </c>
      <c r="C107" s="339">
        <v>166592</v>
      </c>
      <c r="D107" s="339">
        <v>122116.75</v>
      </c>
      <c r="E107" s="340">
        <v>119477.5</v>
      </c>
      <c r="F107" s="340">
        <v>125356.5</v>
      </c>
    </row>
    <row r="108" spans="1:6">
      <c r="A108" s="338" t="s">
        <v>37</v>
      </c>
      <c r="B108" s="339">
        <v>3609712.5</v>
      </c>
      <c r="C108" s="339">
        <v>2735264.25</v>
      </c>
      <c r="D108" s="339">
        <v>2367521.75</v>
      </c>
      <c r="E108" s="340">
        <v>2158669.5</v>
      </c>
      <c r="F108" s="340">
        <v>2473916.75</v>
      </c>
    </row>
    <row r="109" spans="1:6">
      <c r="A109" s="338" t="s">
        <v>180</v>
      </c>
      <c r="B109" s="339">
        <v>819169.29</v>
      </c>
      <c r="C109" s="339">
        <v>548508.75</v>
      </c>
      <c r="D109" s="339">
        <v>539517.25</v>
      </c>
      <c r="E109" s="340">
        <v>510819.25</v>
      </c>
      <c r="F109" s="340">
        <v>531192.65</v>
      </c>
    </row>
    <row r="110" spans="1:6">
      <c r="A110" s="338" t="s">
        <v>181</v>
      </c>
      <c r="B110" s="339">
        <v>3043108.8</v>
      </c>
      <c r="C110" s="339">
        <v>2946743.51</v>
      </c>
      <c r="D110" s="339">
        <v>2382388.5499999998</v>
      </c>
      <c r="E110" s="340">
        <v>2185038.71</v>
      </c>
      <c r="F110" s="340">
        <v>2234784.5099999998</v>
      </c>
    </row>
    <row r="111" spans="1:6">
      <c r="A111" s="338" t="s">
        <v>183</v>
      </c>
      <c r="B111" s="339">
        <v>437166</v>
      </c>
      <c r="C111" s="339">
        <v>348812.04</v>
      </c>
      <c r="D111" s="339">
        <v>230159</v>
      </c>
      <c r="E111" s="340">
        <v>324460.49</v>
      </c>
      <c r="F111" s="340">
        <v>258458.25</v>
      </c>
    </row>
    <row r="112" spans="1:6" ht="10.7" customHeight="1">
      <c r="A112" s="338"/>
      <c r="B112" s="339"/>
      <c r="C112" s="339"/>
      <c r="D112" s="339"/>
      <c r="E112" s="340"/>
      <c r="F112" s="340"/>
    </row>
    <row r="113" spans="1:6">
      <c r="A113" s="335" t="s">
        <v>185</v>
      </c>
      <c r="B113" s="339">
        <v>288833.71999999997</v>
      </c>
      <c r="C113" s="339">
        <v>237299.14</v>
      </c>
      <c r="D113" s="339">
        <v>189178.75</v>
      </c>
      <c r="E113" s="340">
        <v>159014.5</v>
      </c>
      <c r="F113" s="340">
        <v>188789.25</v>
      </c>
    </row>
    <row r="114" spans="1:6">
      <c r="A114" s="338" t="s">
        <v>187</v>
      </c>
      <c r="B114" s="339">
        <v>1641444.25</v>
      </c>
      <c r="C114" s="339">
        <v>1091301.25</v>
      </c>
      <c r="D114" s="339">
        <v>1118683.75</v>
      </c>
      <c r="E114" s="340">
        <v>974668.25</v>
      </c>
      <c r="F114" s="340">
        <v>870279.75</v>
      </c>
    </row>
    <row r="115" spans="1:6">
      <c r="A115" s="338" t="s">
        <v>189</v>
      </c>
      <c r="B115" s="339">
        <v>490556.01</v>
      </c>
      <c r="C115" s="339">
        <v>309668.32</v>
      </c>
      <c r="D115" s="339">
        <v>371157.25</v>
      </c>
      <c r="E115" s="340">
        <v>244818</v>
      </c>
      <c r="F115" s="340">
        <v>323550.75</v>
      </c>
    </row>
    <row r="116" spans="1:6">
      <c r="A116" s="338" t="s">
        <v>191</v>
      </c>
      <c r="B116" s="339">
        <v>502076</v>
      </c>
      <c r="C116" s="339">
        <v>386402.5</v>
      </c>
      <c r="D116" s="339">
        <v>346217.75</v>
      </c>
      <c r="E116" s="340">
        <v>372330.25</v>
      </c>
      <c r="F116" s="340">
        <v>299533.25</v>
      </c>
    </row>
    <row r="117" spans="1:6">
      <c r="A117" s="338" t="s">
        <v>193</v>
      </c>
      <c r="B117" s="339">
        <v>7394000</v>
      </c>
      <c r="C117" s="339">
        <v>5988757.1300000008</v>
      </c>
      <c r="D117" s="339">
        <v>4952648.25</v>
      </c>
      <c r="E117" s="340">
        <v>4702104.7</v>
      </c>
      <c r="F117" s="340">
        <v>4746370.3000000007</v>
      </c>
    </row>
    <row r="118" spans="1:6" ht="10.7" customHeight="1">
      <c r="A118" s="338"/>
      <c r="B118" s="339"/>
      <c r="C118" s="339"/>
      <c r="D118" s="339"/>
      <c r="E118" s="340"/>
      <c r="F118" s="340"/>
    </row>
    <row r="119" spans="1:6">
      <c r="A119" s="338" t="s">
        <v>195</v>
      </c>
      <c r="B119" s="339">
        <v>8366743.0100000007</v>
      </c>
      <c r="C119" s="339">
        <v>6246221.0100000007</v>
      </c>
      <c r="D119" s="339">
        <v>5965715</v>
      </c>
      <c r="E119" s="340">
        <v>6065342.4800000004</v>
      </c>
      <c r="F119" s="340">
        <v>6792016.6899999995</v>
      </c>
    </row>
    <row r="120" spans="1:6">
      <c r="A120" s="338" t="s">
        <v>197</v>
      </c>
      <c r="B120" s="339">
        <v>275718.5</v>
      </c>
      <c r="C120" s="339">
        <v>150097.5</v>
      </c>
      <c r="D120" s="339">
        <v>210219.75</v>
      </c>
      <c r="E120" s="340">
        <v>123938.25</v>
      </c>
      <c r="F120" s="340">
        <v>149556</v>
      </c>
    </row>
    <row r="121" spans="1:6">
      <c r="A121" s="338" t="s">
        <v>199</v>
      </c>
      <c r="B121" s="339">
        <v>234468.75</v>
      </c>
      <c r="C121" s="339">
        <v>148318.75</v>
      </c>
      <c r="D121" s="339">
        <v>197780.35</v>
      </c>
      <c r="E121" s="340">
        <v>148055.25</v>
      </c>
      <c r="F121" s="340">
        <v>159962.75</v>
      </c>
    </row>
    <row r="122" spans="1:6">
      <c r="A122" s="338" t="s">
        <v>201</v>
      </c>
      <c r="B122" s="339">
        <v>798213.13</v>
      </c>
      <c r="C122" s="339">
        <v>554177.65</v>
      </c>
      <c r="D122" s="339">
        <v>490646.75</v>
      </c>
      <c r="E122" s="340">
        <v>657914.24</v>
      </c>
      <c r="F122" s="340">
        <v>504525.5</v>
      </c>
    </row>
    <row r="123" spans="1:6">
      <c r="A123" s="338" t="s">
        <v>203</v>
      </c>
      <c r="B123" s="339">
        <v>1686967.5</v>
      </c>
      <c r="C123" s="339">
        <v>1571355.9</v>
      </c>
      <c r="D123" s="339">
        <v>1264258.75</v>
      </c>
      <c r="E123" s="340">
        <v>1099602.25</v>
      </c>
      <c r="F123" s="340">
        <v>1114068.5</v>
      </c>
    </row>
    <row r="124" spans="1:6" ht="18">
      <c r="A124" s="1075" t="s">
        <v>799</v>
      </c>
      <c r="B124" s="1075"/>
      <c r="C124" s="1075"/>
      <c r="D124" s="1075"/>
    </row>
    <row r="125" spans="1:6" ht="15.75">
      <c r="A125" s="1076" t="s">
        <v>798</v>
      </c>
      <c r="B125" s="1076"/>
      <c r="C125" s="1076"/>
      <c r="D125" s="1076"/>
    </row>
    <row r="126" spans="1:6" ht="13.5" thickBot="1">
      <c r="A126" s="341"/>
      <c r="B126" s="341"/>
      <c r="C126" s="341"/>
      <c r="D126" s="341"/>
    </row>
    <row r="127" spans="1:6" ht="15" customHeight="1" thickTop="1">
      <c r="A127" s="324"/>
      <c r="B127" s="325" t="s">
        <v>44</v>
      </c>
      <c r="C127" s="325" t="s">
        <v>44</v>
      </c>
      <c r="D127" s="325" t="s">
        <v>44</v>
      </c>
      <c r="E127" s="325" t="s">
        <v>44</v>
      </c>
      <c r="F127" s="325" t="s">
        <v>44</v>
      </c>
    </row>
    <row r="128" spans="1:6">
      <c r="A128" s="328" t="s">
        <v>33</v>
      </c>
      <c r="B128" s="329">
        <v>2008</v>
      </c>
      <c r="C128" s="329">
        <v>2009</v>
      </c>
      <c r="D128" s="329">
        <v>2010</v>
      </c>
      <c r="E128" s="329">
        <v>2011</v>
      </c>
      <c r="F128" s="329">
        <v>2012</v>
      </c>
    </row>
    <row r="129" spans="1:7" s="334" customFormat="1" ht="10.7" customHeight="1">
      <c r="A129" s="331"/>
      <c r="B129" s="342"/>
      <c r="C129" s="342"/>
      <c r="D129" s="342"/>
      <c r="E129" s="342"/>
      <c r="F129" s="333"/>
    </row>
    <row r="130" spans="1:7">
      <c r="A130" s="338" t="s">
        <v>205</v>
      </c>
      <c r="B130" s="336">
        <v>1504823.64</v>
      </c>
      <c r="C130" s="336">
        <v>1037327</v>
      </c>
      <c r="D130" s="336">
        <v>1045915</v>
      </c>
      <c r="E130" s="336">
        <v>897946.75</v>
      </c>
      <c r="F130" s="337">
        <v>1008202.5</v>
      </c>
    </row>
    <row r="131" spans="1:7">
      <c r="A131" s="338" t="s">
        <v>207</v>
      </c>
      <c r="B131" s="339">
        <v>876719</v>
      </c>
      <c r="C131" s="339">
        <v>626148.5</v>
      </c>
      <c r="D131" s="339">
        <v>597991.25</v>
      </c>
      <c r="E131" s="339">
        <v>462229.75</v>
      </c>
      <c r="F131" s="340">
        <v>567638.5</v>
      </c>
    </row>
    <row r="132" spans="1:7">
      <c r="A132" s="338" t="s">
        <v>209</v>
      </c>
      <c r="B132" s="339">
        <v>555780.53</v>
      </c>
      <c r="C132" s="339">
        <v>464801.99</v>
      </c>
      <c r="D132" s="339">
        <v>314696.61</v>
      </c>
      <c r="E132" s="339">
        <v>317213.71000000002</v>
      </c>
      <c r="F132" s="340">
        <v>342002.51</v>
      </c>
    </row>
    <row r="133" spans="1:7">
      <c r="A133" s="338" t="s">
        <v>211</v>
      </c>
      <c r="B133" s="339">
        <v>679873.75</v>
      </c>
      <c r="C133" s="339">
        <v>461528.25</v>
      </c>
      <c r="D133" s="339">
        <v>472931.71</v>
      </c>
      <c r="E133" s="339">
        <v>422675.88</v>
      </c>
      <c r="F133" s="340">
        <v>388468.25</v>
      </c>
    </row>
    <row r="134" spans="1:7">
      <c r="A134" s="338" t="s">
        <v>213</v>
      </c>
      <c r="B134" s="339">
        <v>4678057.54</v>
      </c>
      <c r="C134" s="339">
        <v>3380817.53</v>
      </c>
      <c r="D134" s="339">
        <v>3292403.26</v>
      </c>
      <c r="E134" s="339">
        <v>2519238.17</v>
      </c>
      <c r="F134" s="340">
        <v>3325893.25</v>
      </c>
    </row>
    <row r="135" spans="1:7" s="334" customFormat="1" ht="10.7" customHeight="1">
      <c r="A135" s="347"/>
      <c r="B135" s="347"/>
      <c r="C135" s="347"/>
      <c r="D135" s="347"/>
      <c r="E135" s="347"/>
      <c r="F135" s="333"/>
    </row>
    <row r="136" spans="1:7">
      <c r="A136" s="348" t="s">
        <v>34</v>
      </c>
      <c r="B136" s="349">
        <f>SUM(B7:B41,B48:B82,B89:B123,B130:B134)</f>
        <v>319831531.12</v>
      </c>
      <c r="C136" s="349">
        <f>SUM(C7:C41,C48:C82,C89:C123,C130:C134)</f>
        <v>249599166.72</v>
      </c>
      <c r="D136" s="349">
        <f t="shared" ref="D136:E136" si="0">SUM(D7:D41,D48:D82,D89:D123,D130:D134)</f>
        <v>234158970.87000003</v>
      </c>
      <c r="E136" s="349">
        <f t="shared" si="0"/>
        <v>238192056.26000005</v>
      </c>
      <c r="F136" s="349">
        <f>SUM(F7:F41,F48:F82,F89:F123,F130:F134)</f>
        <v>264674507.84999996</v>
      </c>
    </row>
    <row r="137" spans="1:7" ht="13.5" thickBot="1">
      <c r="A137" s="350"/>
      <c r="B137" s="351"/>
      <c r="C137" s="351"/>
      <c r="D137" s="351"/>
    </row>
    <row r="138" spans="1:7" ht="15" customHeight="1" thickTop="1">
      <c r="A138" s="324"/>
      <c r="B138" s="325" t="s">
        <v>44</v>
      </c>
      <c r="C138" s="325" t="s">
        <v>44</v>
      </c>
      <c r="D138" s="325" t="s">
        <v>44</v>
      </c>
      <c r="E138" s="325" t="s">
        <v>44</v>
      </c>
      <c r="F138" s="325" t="s">
        <v>44</v>
      </c>
    </row>
    <row r="139" spans="1:7">
      <c r="A139" s="328" t="s">
        <v>35</v>
      </c>
      <c r="B139" s="329">
        <v>2008</v>
      </c>
      <c r="C139" s="329">
        <v>2009</v>
      </c>
      <c r="D139" s="329">
        <v>2010</v>
      </c>
      <c r="E139" s="329">
        <v>2011</v>
      </c>
      <c r="F139" s="329">
        <v>2012</v>
      </c>
    </row>
    <row r="140" spans="1:7" s="334" customFormat="1" ht="10.7" customHeight="1">
      <c r="A140" s="331"/>
      <c r="B140" s="332"/>
      <c r="C140" s="332"/>
      <c r="D140" s="332"/>
      <c r="E140" s="332"/>
      <c r="F140" s="333"/>
    </row>
    <row r="141" spans="1:7">
      <c r="A141" s="335" t="s">
        <v>218</v>
      </c>
      <c r="B141" s="336">
        <v>13253129.25</v>
      </c>
      <c r="C141" s="336">
        <v>8728058.4499999993</v>
      </c>
      <c r="D141" s="336">
        <v>9037545.7599999998</v>
      </c>
      <c r="E141" s="336">
        <v>10070974.75</v>
      </c>
      <c r="F141" s="972">
        <v>13951172.439999999</v>
      </c>
      <c r="G141" s="971"/>
    </row>
    <row r="142" spans="1:7">
      <c r="A142" s="338" t="s">
        <v>558</v>
      </c>
      <c r="B142" s="339">
        <v>140951.25</v>
      </c>
      <c r="C142" s="339">
        <v>110518.75</v>
      </c>
      <c r="D142" s="339">
        <v>106700.75</v>
      </c>
      <c r="E142" s="339">
        <v>77282</v>
      </c>
      <c r="F142" s="340">
        <v>93829</v>
      </c>
    </row>
    <row r="143" spans="1:7">
      <c r="A143" s="338" t="s">
        <v>220</v>
      </c>
      <c r="B143" s="339">
        <v>554112.15</v>
      </c>
      <c r="C143" s="339">
        <v>309817.25</v>
      </c>
      <c r="D143" s="339">
        <v>270451.5</v>
      </c>
      <c r="E143" s="339">
        <v>298980.5</v>
      </c>
      <c r="F143" s="340">
        <v>340318</v>
      </c>
    </row>
    <row r="144" spans="1:7">
      <c r="A144" s="338" t="s">
        <v>222</v>
      </c>
      <c r="B144" s="339">
        <v>148066.75</v>
      </c>
      <c r="C144" s="339">
        <v>96061.25</v>
      </c>
      <c r="D144" s="339">
        <v>102581.25</v>
      </c>
      <c r="E144" s="339">
        <v>80767.539999999994</v>
      </c>
      <c r="F144" s="340">
        <v>58999</v>
      </c>
    </row>
    <row r="145" spans="1:16">
      <c r="A145" s="338" t="s">
        <v>224</v>
      </c>
      <c r="B145" s="339">
        <v>2286665.31</v>
      </c>
      <c r="C145" s="339">
        <v>1528731.25</v>
      </c>
      <c r="D145" s="339">
        <v>1342616.75</v>
      </c>
      <c r="E145" s="339">
        <v>1495529.5</v>
      </c>
      <c r="F145" s="340">
        <v>1703713.45</v>
      </c>
    </row>
    <row r="146" spans="1:16" ht="10.7" customHeight="1">
      <c r="A146" s="338"/>
      <c r="B146" s="339"/>
      <c r="C146" s="339"/>
      <c r="D146" s="339"/>
      <c r="E146" s="339"/>
      <c r="F146" s="340"/>
    </row>
    <row r="147" spans="1:16">
      <c r="A147" s="338" t="s">
        <v>169</v>
      </c>
      <c r="B147" s="339">
        <v>11695969.35</v>
      </c>
      <c r="C147" s="339">
        <v>9397549.5999999996</v>
      </c>
      <c r="D147" s="339">
        <v>8732274.0700000003</v>
      </c>
      <c r="E147" s="339">
        <v>8267914.2199999997</v>
      </c>
      <c r="F147" s="970">
        <v>9030178.2599999998</v>
      </c>
      <c r="G147" s="360"/>
    </row>
    <row r="148" spans="1:16">
      <c r="A148" s="338" t="s">
        <v>171</v>
      </c>
      <c r="B148" s="339">
        <v>568780.75</v>
      </c>
      <c r="C148" s="339">
        <v>416202</v>
      </c>
      <c r="D148" s="339">
        <v>325716.25</v>
      </c>
      <c r="E148" s="339">
        <v>299586.75</v>
      </c>
      <c r="F148" s="970">
        <v>464823.25</v>
      </c>
      <c r="G148" s="971"/>
    </row>
    <row r="149" spans="1:16">
      <c r="A149" s="338" t="s">
        <v>617</v>
      </c>
      <c r="B149" s="339">
        <v>63732.75</v>
      </c>
      <c r="C149" s="339">
        <v>53528.75</v>
      </c>
      <c r="D149" s="359">
        <v>43242.75</v>
      </c>
      <c r="E149" s="359">
        <v>44179.75</v>
      </c>
      <c r="F149" s="970">
        <v>59717</v>
      </c>
      <c r="G149" s="971"/>
      <c r="H149" s="973"/>
      <c r="I149" s="360"/>
      <c r="J149" s="360"/>
      <c r="K149" s="360"/>
      <c r="L149" s="360"/>
      <c r="M149" s="360"/>
      <c r="N149" s="360"/>
      <c r="O149" s="360"/>
      <c r="P149" s="360"/>
    </row>
    <row r="150" spans="1:16">
      <c r="A150" s="338" t="s">
        <v>175</v>
      </c>
      <c r="B150" s="339">
        <v>779548.26</v>
      </c>
      <c r="C150" s="339">
        <v>623562.5</v>
      </c>
      <c r="D150" s="339">
        <v>603184</v>
      </c>
      <c r="E150" s="339">
        <v>466293</v>
      </c>
      <c r="F150" s="340">
        <v>550921.75</v>
      </c>
    </row>
    <row r="151" spans="1:16">
      <c r="A151" s="358" t="s">
        <v>623</v>
      </c>
      <c r="B151" s="359">
        <v>105130.25</v>
      </c>
      <c r="C151" s="359">
        <v>57915.5</v>
      </c>
      <c r="D151" s="359">
        <v>100057.75</v>
      </c>
      <c r="E151" s="359">
        <v>36957.25</v>
      </c>
      <c r="F151" s="970">
        <v>71462.5</v>
      </c>
      <c r="G151" s="971"/>
      <c r="H151" s="973"/>
      <c r="I151" s="360"/>
      <c r="J151" s="360"/>
    </row>
    <row r="152" spans="1:16" ht="10.7" customHeight="1">
      <c r="A152" s="338"/>
      <c r="B152" s="339"/>
      <c r="C152" s="339"/>
      <c r="D152" s="339"/>
      <c r="E152" s="339"/>
      <c r="F152" s="340"/>
      <c r="G152" s="360"/>
      <c r="H152" s="360"/>
      <c r="I152" s="360"/>
      <c r="J152" s="360"/>
    </row>
    <row r="153" spans="1:16">
      <c r="A153" s="338" t="s">
        <v>618</v>
      </c>
      <c r="B153" s="339">
        <v>714781.56</v>
      </c>
      <c r="C153" s="339">
        <v>942332.21</v>
      </c>
      <c r="D153" s="339">
        <v>1031278.38</v>
      </c>
      <c r="E153" s="339">
        <v>1071906.45</v>
      </c>
      <c r="F153" s="970">
        <v>1686308.2399999998</v>
      </c>
      <c r="G153" s="971"/>
      <c r="H153" s="360"/>
      <c r="I153" s="360"/>
      <c r="J153" s="360"/>
    </row>
    <row r="154" spans="1:16">
      <c r="A154" s="352" t="s">
        <v>628</v>
      </c>
      <c r="B154" s="339">
        <v>1807140.94</v>
      </c>
      <c r="C154" s="339">
        <v>951451.34</v>
      </c>
      <c r="D154" s="339">
        <v>996837.3</v>
      </c>
      <c r="E154" s="339">
        <v>1028500.5</v>
      </c>
      <c r="F154" s="340">
        <v>1352752.55</v>
      </c>
      <c r="G154" s="360"/>
      <c r="H154" s="360"/>
      <c r="I154" s="360"/>
      <c r="J154" s="360"/>
    </row>
    <row r="155" spans="1:16">
      <c r="A155" s="338" t="s">
        <v>629</v>
      </c>
      <c r="B155" s="339">
        <v>308166.65999999997</v>
      </c>
      <c r="C155" s="339">
        <v>184433.75</v>
      </c>
      <c r="D155" s="339">
        <v>97420.75</v>
      </c>
      <c r="E155" s="339">
        <v>112738</v>
      </c>
      <c r="F155" s="340">
        <v>112095.5</v>
      </c>
      <c r="G155" s="360"/>
      <c r="H155" s="360"/>
      <c r="I155" s="360"/>
      <c r="J155" s="360"/>
    </row>
    <row r="156" spans="1:16">
      <c r="A156" s="338" t="s">
        <v>182</v>
      </c>
      <c r="B156" s="339">
        <v>1909928.75</v>
      </c>
      <c r="C156" s="339">
        <v>1228501.25</v>
      </c>
      <c r="D156" s="339">
        <v>1101534.75</v>
      </c>
      <c r="E156" s="339">
        <v>1266329.7</v>
      </c>
      <c r="F156" s="340">
        <v>1080318.25</v>
      </c>
      <c r="G156" s="360"/>
      <c r="H156" s="360"/>
      <c r="I156" s="360"/>
      <c r="J156" s="360"/>
    </row>
    <row r="157" spans="1:16">
      <c r="A157" s="338" t="s">
        <v>636</v>
      </c>
      <c r="B157" s="339">
        <v>122228.75</v>
      </c>
      <c r="C157" s="339">
        <v>67225.75</v>
      </c>
      <c r="D157" s="339">
        <v>74611</v>
      </c>
      <c r="E157" s="359">
        <v>68057</v>
      </c>
      <c r="F157" s="970">
        <v>96582.75</v>
      </c>
      <c r="G157" s="971"/>
      <c r="H157" s="973"/>
      <c r="I157" s="360"/>
      <c r="J157" s="360"/>
    </row>
    <row r="158" spans="1:16" ht="10.7" customHeight="1">
      <c r="A158" s="338"/>
      <c r="B158" s="339"/>
      <c r="C158" s="339"/>
      <c r="D158" s="339"/>
      <c r="E158" s="339"/>
      <c r="F158" s="340"/>
    </row>
    <row r="159" spans="1:16">
      <c r="A159" s="338" t="s">
        <v>186</v>
      </c>
      <c r="B159" s="339">
        <v>5093035</v>
      </c>
      <c r="C159" s="339">
        <v>3584531.3</v>
      </c>
      <c r="D159" s="339">
        <v>3390825.66</v>
      </c>
      <c r="E159" s="339">
        <v>2789753.66</v>
      </c>
      <c r="F159" s="340">
        <v>2899754.37</v>
      </c>
    </row>
    <row r="160" spans="1:16">
      <c r="A160" s="338" t="s">
        <v>640</v>
      </c>
      <c r="B160" s="339">
        <v>1669350.8</v>
      </c>
      <c r="C160" s="339">
        <v>1065004.5</v>
      </c>
      <c r="D160" s="339">
        <v>838107.06</v>
      </c>
      <c r="E160" s="339">
        <v>1059799.47</v>
      </c>
      <c r="F160" s="340">
        <v>747986.06</v>
      </c>
    </row>
    <row r="161" spans="1:8">
      <c r="A161" s="338" t="s">
        <v>190</v>
      </c>
      <c r="B161" s="339">
        <v>633026.25</v>
      </c>
      <c r="C161" s="339">
        <v>511521.55</v>
      </c>
      <c r="D161" s="339">
        <v>317384.5</v>
      </c>
      <c r="E161" s="339">
        <v>284366.5</v>
      </c>
      <c r="F161" s="340">
        <v>292357.2</v>
      </c>
    </row>
    <row r="162" spans="1:8">
      <c r="A162" s="338" t="s">
        <v>646</v>
      </c>
      <c r="B162" s="339">
        <v>152937.25</v>
      </c>
      <c r="C162" s="339">
        <v>128164.25</v>
      </c>
      <c r="D162" s="339">
        <v>127819.75</v>
      </c>
      <c r="E162" s="339">
        <v>128941</v>
      </c>
      <c r="F162" s="340">
        <v>122514.35</v>
      </c>
    </row>
    <row r="163" spans="1:8">
      <c r="A163" s="335" t="s">
        <v>194</v>
      </c>
      <c r="B163" s="339">
        <v>2247924.2000000002</v>
      </c>
      <c r="C163" s="339">
        <v>1514609.25</v>
      </c>
      <c r="D163" s="339">
        <v>1653025.75</v>
      </c>
      <c r="E163" s="339">
        <v>1213886</v>
      </c>
      <c r="F163" s="340">
        <v>1489592.25</v>
      </c>
    </row>
    <row r="164" spans="1:8" ht="18">
      <c r="A164" s="1075" t="s">
        <v>799</v>
      </c>
      <c r="B164" s="1075"/>
      <c r="C164" s="1075"/>
      <c r="D164" s="1075"/>
      <c r="E164" s="308"/>
    </row>
    <row r="165" spans="1:8" ht="15.75">
      <c r="A165" s="1076" t="s">
        <v>798</v>
      </c>
      <c r="B165" s="1076"/>
      <c r="C165" s="1076"/>
      <c r="D165" s="1076"/>
    </row>
    <row r="166" spans="1:8" ht="13.5" thickBot="1">
      <c r="A166" s="341"/>
      <c r="B166" s="341"/>
      <c r="C166" s="341"/>
      <c r="D166" s="341"/>
    </row>
    <row r="167" spans="1:8" ht="15" customHeight="1" thickTop="1">
      <c r="A167" s="324"/>
      <c r="B167" s="325" t="s">
        <v>44</v>
      </c>
      <c r="C167" s="325" t="s">
        <v>44</v>
      </c>
      <c r="D167" s="325" t="s">
        <v>44</v>
      </c>
      <c r="E167" s="325" t="s">
        <v>44</v>
      </c>
      <c r="F167" s="325" t="s">
        <v>44</v>
      </c>
    </row>
    <row r="168" spans="1:8">
      <c r="A168" s="328" t="s">
        <v>35</v>
      </c>
      <c r="B168" s="329">
        <v>2008</v>
      </c>
      <c r="C168" s="329">
        <v>2009</v>
      </c>
      <c r="D168" s="329">
        <v>2010</v>
      </c>
      <c r="E168" s="329">
        <v>2011</v>
      </c>
      <c r="F168" s="329">
        <v>2012</v>
      </c>
    </row>
    <row r="169" spans="1:8" s="334" customFormat="1" ht="10.7" customHeight="1">
      <c r="A169" s="331"/>
      <c r="B169" s="332"/>
      <c r="C169" s="332"/>
      <c r="D169" s="332"/>
      <c r="E169" s="332"/>
      <c r="F169" s="333"/>
    </row>
    <row r="170" spans="1:8">
      <c r="A170" s="338" t="s">
        <v>525</v>
      </c>
      <c r="B170" s="336">
        <v>2352443.44</v>
      </c>
      <c r="C170" s="336">
        <v>2140411.7599999998</v>
      </c>
      <c r="D170" s="336">
        <v>1195003.18</v>
      </c>
      <c r="E170" s="337">
        <v>947589.5</v>
      </c>
      <c r="F170" s="337">
        <v>1090288.57</v>
      </c>
      <c r="G170" s="974"/>
    </row>
    <row r="171" spans="1:8">
      <c r="A171" s="338" t="s">
        <v>529</v>
      </c>
      <c r="B171" s="339">
        <v>983770.74</v>
      </c>
      <c r="C171" s="339">
        <v>1006434.43</v>
      </c>
      <c r="D171" s="339">
        <v>482561.3</v>
      </c>
      <c r="E171" s="340">
        <v>628648.46</v>
      </c>
      <c r="F171" s="340">
        <v>480301.99999999994</v>
      </c>
    </row>
    <row r="172" spans="1:8">
      <c r="A172" s="338" t="s">
        <v>200</v>
      </c>
      <c r="B172" s="339">
        <v>252134.05</v>
      </c>
      <c r="C172" s="339">
        <v>157172.23000000001</v>
      </c>
      <c r="D172" s="359">
        <v>130536.5</v>
      </c>
      <c r="E172" s="970">
        <v>131656</v>
      </c>
      <c r="F172" s="970">
        <f>251456.75-H168</f>
        <v>251456.75</v>
      </c>
      <c r="G172" s="977"/>
      <c r="H172" s="973"/>
    </row>
    <row r="173" spans="1:8">
      <c r="A173" s="338" t="s">
        <v>202</v>
      </c>
      <c r="B173" s="339">
        <v>7184813.0599999987</v>
      </c>
      <c r="C173" s="339">
        <v>4667266.53</v>
      </c>
      <c r="D173" s="339">
        <v>3878448.4</v>
      </c>
      <c r="E173" s="340">
        <v>4237084.38</v>
      </c>
      <c r="F173" s="340">
        <v>3535570.88</v>
      </c>
    </row>
    <row r="174" spans="1:8">
      <c r="A174" s="338" t="s">
        <v>204</v>
      </c>
      <c r="B174" s="339">
        <v>9314388.910000002</v>
      </c>
      <c r="C174" s="339">
        <v>6779537.3399999999</v>
      </c>
      <c r="D174" s="339">
        <v>5456506.1899999995</v>
      </c>
      <c r="E174" s="340">
        <v>5474065.0899999999</v>
      </c>
      <c r="F174" s="340">
        <v>5772435.8499999996</v>
      </c>
    </row>
    <row r="175" spans="1:8" ht="10.7" customHeight="1">
      <c r="A175" s="338"/>
      <c r="B175" s="339"/>
      <c r="C175" s="339"/>
      <c r="D175" s="339"/>
      <c r="E175" s="340"/>
      <c r="F175" s="340"/>
    </row>
    <row r="176" spans="1:8">
      <c r="A176" s="338" t="s">
        <v>545</v>
      </c>
      <c r="B176" s="339">
        <v>49013.5</v>
      </c>
      <c r="C176" s="339">
        <v>68396.75</v>
      </c>
      <c r="D176" s="339">
        <v>60438.25</v>
      </c>
      <c r="E176" s="340">
        <v>86218.25</v>
      </c>
      <c r="F176" s="970">
        <v>51722.5</v>
      </c>
      <c r="G176" s="971"/>
    </row>
    <row r="177" spans="1:6">
      <c r="A177" s="338" t="s">
        <v>208</v>
      </c>
      <c r="B177" s="339">
        <v>963460.25</v>
      </c>
      <c r="C177" s="339">
        <v>630051.85</v>
      </c>
      <c r="D177" s="339">
        <v>539261.75</v>
      </c>
      <c r="E177" s="340">
        <v>507166.5</v>
      </c>
      <c r="F177" s="340">
        <v>429769.72</v>
      </c>
    </row>
    <row r="178" spans="1:6">
      <c r="A178" s="338" t="s">
        <v>553</v>
      </c>
      <c r="B178" s="339">
        <v>601091.37</v>
      </c>
      <c r="C178" s="339">
        <v>483595.5</v>
      </c>
      <c r="D178" s="339">
        <v>423490.53</v>
      </c>
      <c r="E178" s="340">
        <v>382766.33</v>
      </c>
      <c r="F178" s="340">
        <v>373973.75</v>
      </c>
    </row>
    <row r="179" spans="1:6">
      <c r="A179" s="338" t="s">
        <v>212</v>
      </c>
      <c r="B179" s="339">
        <v>3757330.8</v>
      </c>
      <c r="C179" s="339">
        <v>2502484.25</v>
      </c>
      <c r="D179" s="339">
        <v>2621949.44</v>
      </c>
      <c r="E179" s="340">
        <v>2062152.64</v>
      </c>
      <c r="F179" s="340">
        <v>1895262.25</v>
      </c>
    </row>
    <row r="180" spans="1:6">
      <c r="A180" s="338" t="s">
        <v>214</v>
      </c>
      <c r="B180" s="339">
        <v>286466.84999999998</v>
      </c>
      <c r="C180" s="339">
        <v>261217.61</v>
      </c>
      <c r="D180" s="339">
        <v>193752</v>
      </c>
      <c r="E180" s="340">
        <v>241304.56</v>
      </c>
      <c r="F180" s="340">
        <v>256603.49</v>
      </c>
    </row>
    <row r="181" spans="1:6" ht="10.7" customHeight="1">
      <c r="A181" s="338"/>
      <c r="B181" s="339"/>
      <c r="C181" s="339"/>
      <c r="D181" s="339"/>
      <c r="E181" s="340"/>
      <c r="F181" s="340"/>
    </row>
    <row r="182" spans="1:6">
      <c r="A182" s="338" t="s">
        <v>178</v>
      </c>
      <c r="B182" s="339">
        <v>10493852.35</v>
      </c>
      <c r="C182" s="339">
        <v>6428535.1500000004</v>
      </c>
      <c r="D182" s="339">
        <v>5907596.0099999998</v>
      </c>
      <c r="E182" s="340">
        <v>5447032.5700000003</v>
      </c>
      <c r="F182" s="340">
        <v>5952106.1200000001</v>
      </c>
    </row>
    <row r="183" spans="1:6">
      <c r="A183" s="338" t="s">
        <v>37</v>
      </c>
      <c r="B183" s="339">
        <v>3111353.87</v>
      </c>
      <c r="C183" s="339">
        <v>2003591.75</v>
      </c>
      <c r="D183" s="339">
        <v>1896074.5</v>
      </c>
      <c r="E183" s="340">
        <v>1857871.25</v>
      </c>
      <c r="F183" s="340">
        <v>2197399.5</v>
      </c>
    </row>
    <row r="184" spans="1:6">
      <c r="A184" s="338" t="s">
        <v>215</v>
      </c>
      <c r="B184" s="339">
        <v>839603.25</v>
      </c>
      <c r="C184" s="339">
        <v>794094.93</v>
      </c>
      <c r="D184" s="339">
        <v>506190.75</v>
      </c>
      <c r="E184" s="340">
        <v>530991.5</v>
      </c>
      <c r="F184" s="340">
        <v>559072.22</v>
      </c>
    </row>
    <row r="185" spans="1:6">
      <c r="A185" s="338" t="s">
        <v>216</v>
      </c>
      <c r="B185" s="339">
        <v>922015.35</v>
      </c>
      <c r="C185" s="339">
        <v>834220.65</v>
      </c>
      <c r="D185" s="339">
        <v>480353</v>
      </c>
      <c r="E185" s="340">
        <v>428228.25</v>
      </c>
      <c r="F185" s="340">
        <v>484228.5</v>
      </c>
    </row>
    <row r="186" spans="1:6">
      <c r="A186" s="338" t="s">
        <v>217</v>
      </c>
      <c r="B186" s="339">
        <v>5236398.4000000004</v>
      </c>
      <c r="C186" s="339">
        <v>3992828.77</v>
      </c>
      <c r="D186" s="339">
        <v>3413693.25</v>
      </c>
      <c r="E186" s="340">
        <v>2783825.41</v>
      </c>
      <c r="F186" s="340">
        <v>3115428.45</v>
      </c>
    </row>
    <row r="187" spans="1:6" ht="10.7" customHeight="1">
      <c r="A187" s="338"/>
      <c r="B187" s="339"/>
      <c r="C187" s="339"/>
      <c r="D187" s="339"/>
      <c r="E187" s="340"/>
      <c r="F187" s="340"/>
    </row>
    <row r="188" spans="1:6">
      <c r="A188" s="338" t="s">
        <v>801</v>
      </c>
      <c r="B188" s="339">
        <v>24673542.280000005</v>
      </c>
      <c r="C188" s="339">
        <v>18264917.940000001</v>
      </c>
      <c r="D188" s="339">
        <v>17270240.399999999</v>
      </c>
      <c r="E188" s="340">
        <v>16119231.449999999</v>
      </c>
      <c r="F188" s="340">
        <v>17433858.550000001</v>
      </c>
    </row>
    <row r="189" spans="1:6">
      <c r="A189" s="338" t="s">
        <v>219</v>
      </c>
      <c r="B189" s="339">
        <v>757096.75</v>
      </c>
      <c r="C189" s="339">
        <v>772424.5</v>
      </c>
      <c r="D189" s="339">
        <v>543351.25</v>
      </c>
      <c r="E189" s="340">
        <v>465381.75</v>
      </c>
      <c r="F189" s="340">
        <v>372254</v>
      </c>
    </row>
    <row r="190" spans="1:6">
      <c r="A190" s="338" t="s">
        <v>589</v>
      </c>
      <c r="B190" s="339">
        <v>885151.16</v>
      </c>
      <c r="C190" s="339">
        <v>467201.75</v>
      </c>
      <c r="D190" s="339">
        <v>371388.15999999997</v>
      </c>
      <c r="E190" s="340">
        <v>385675</v>
      </c>
      <c r="F190" s="340">
        <v>477788.25</v>
      </c>
    </row>
    <row r="191" spans="1:6">
      <c r="A191" s="338" t="s">
        <v>223</v>
      </c>
      <c r="B191" s="339">
        <v>1341677.5</v>
      </c>
      <c r="C191" s="339">
        <v>881126.75</v>
      </c>
      <c r="D191" s="339">
        <v>783194.5</v>
      </c>
      <c r="E191" s="340">
        <v>680316.75</v>
      </c>
      <c r="F191" s="340">
        <v>902585.35000000009</v>
      </c>
    </row>
    <row r="192" spans="1:6" s="334" customFormat="1" ht="10.7" customHeight="1">
      <c r="A192" s="347"/>
      <c r="B192" s="347"/>
      <c r="C192" s="347"/>
      <c r="F192" s="333"/>
    </row>
    <row r="193" spans="1:6">
      <c r="A193" s="348" t="s">
        <v>39</v>
      </c>
      <c r="B193" s="349">
        <f>SUM(B141:B163,B170:B191)</f>
        <v>118260210.10999998</v>
      </c>
      <c r="C193" s="349">
        <f>SUM(C141:C163,C170:C191)</f>
        <v>84635230.890000001</v>
      </c>
      <c r="D193" s="349">
        <f t="shared" ref="D193:E193" si="1">SUM(D141:D163,D170:D191)</f>
        <v>76447245.089999989</v>
      </c>
      <c r="E193" s="349">
        <f t="shared" si="1"/>
        <v>73559949.180000007</v>
      </c>
      <c r="F193" s="349">
        <f>SUM(F141:F163,F170:F191)</f>
        <v>81837502.870000005</v>
      </c>
    </row>
    <row r="194" spans="1:6">
      <c r="A194" s="348" t="s">
        <v>34</v>
      </c>
      <c r="B194" s="349">
        <f>SUM(B7:B41,B48:B82,B89:B123,B130:B134)</f>
        <v>319831531.12</v>
      </c>
      <c r="C194" s="349">
        <f>SUM(C7:C41,C48:C82,C89:C123,C130:C134)</f>
        <v>249599166.72</v>
      </c>
      <c r="D194" s="349">
        <f>SUM(D7:D41,D48:D82,D89:D123,D130:D134)</f>
        <v>234158970.87000003</v>
      </c>
      <c r="E194" s="349">
        <f>SUM(E7:E41,E48:E82,E89:E123,E130:E134)</f>
        <v>238192056.26000005</v>
      </c>
      <c r="F194" s="349">
        <f>SUM(F7:F41,F48:F82,F89:F123,F130:F134)</f>
        <v>264674507.84999996</v>
      </c>
    </row>
    <row r="195" spans="1:6">
      <c r="B195" s="353"/>
      <c r="C195" s="353"/>
      <c r="D195" s="354"/>
      <c r="E195" s="354"/>
      <c r="F195" s="355"/>
    </row>
    <row r="196" spans="1:6">
      <c r="A196" s="348" t="s">
        <v>40</v>
      </c>
      <c r="B196" s="349">
        <f>SUM(B193:B194)</f>
        <v>438091741.23000002</v>
      </c>
      <c r="C196" s="349">
        <f>SUM(C193:C194)</f>
        <v>334234397.61000001</v>
      </c>
      <c r="D196" s="349">
        <f t="shared" ref="D196:E196" si="2">SUM(D193:D194)</f>
        <v>310606215.96000004</v>
      </c>
      <c r="E196" s="349">
        <f t="shared" si="2"/>
        <v>311752005.44000006</v>
      </c>
      <c r="F196" s="349">
        <f>SUM(F193:F194)</f>
        <v>346512010.71999997</v>
      </c>
    </row>
    <row r="197" spans="1:6">
      <c r="A197" s="356"/>
      <c r="B197" s="357"/>
      <c r="C197" s="357"/>
      <c r="D197" s="357"/>
    </row>
  </sheetData>
  <mergeCells count="8">
    <mergeCell ref="A164:D164"/>
    <mergeCell ref="A165:D165"/>
    <mergeCell ref="A42:D42"/>
    <mergeCell ref="A43:D43"/>
    <mergeCell ref="A83:D83"/>
    <mergeCell ref="A84:D84"/>
    <mergeCell ref="A124:D124"/>
    <mergeCell ref="A125:D125"/>
  </mergeCells>
  <printOptions horizontalCentered="1"/>
  <pageMargins left="0.5" right="0.5" top="0.5" bottom="0.75" header="0.5" footer="0.5"/>
  <pageSetup scale="87" orientation="landscape" r:id="rId1"/>
  <headerFooter alignWithMargins="0"/>
  <rowBreaks count="4" manualBreakCount="4">
    <brk id="41" max="16383" man="1"/>
    <brk id="82" max="16383" man="1"/>
    <brk id="123" max="16383" man="1"/>
    <brk id="163" max="16383" man="1"/>
  </rowBreaks>
</worksheet>
</file>

<file path=xl/worksheets/sheet25.xml><?xml version="1.0" encoding="utf-8"?>
<worksheet xmlns="http://schemas.openxmlformats.org/spreadsheetml/2006/main" xmlns:r="http://schemas.openxmlformats.org/officeDocument/2006/relationships">
  <sheetPr codeName="Sheet25"/>
  <dimension ref="A1:N114"/>
  <sheetViews>
    <sheetView topLeftCell="A86" zoomScaleNormal="100" workbookViewId="0">
      <selection activeCell="C19" sqref="C19"/>
    </sheetView>
  </sheetViews>
  <sheetFormatPr defaultColWidth="9.140625" defaultRowHeight="12.75"/>
  <cols>
    <col min="1" max="1" width="30.42578125" style="299" customWidth="1"/>
    <col min="2" max="2" width="21.28515625" style="299" bestFit="1" customWidth="1"/>
    <col min="3" max="3" width="6.140625" style="299" customWidth="1"/>
    <col min="4" max="4" width="26.28515625" style="299" bestFit="1" customWidth="1"/>
    <col min="5" max="5" width="19.42578125" style="299" bestFit="1" customWidth="1"/>
    <col min="6" max="6" width="6.140625" style="300" customWidth="1"/>
    <col min="7" max="7" width="24" style="299" bestFit="1" customWidth="1"/>
    <col min="8" max="8" width="19.42578125" style="299" bestFit="1" customWidth="1"/>
    <col min="9" max="9" width="6.140625" style="299" customWidth="1"/>
    <col min="10" max="10" width="23.42578125" style="299" bestFit="1" customWidth="1"/>
    <col min="11" max="11" width="20.28515625" style="299" bestFit="1" customWidth="1"/>
    <col min="12" max="12" width="2.42578125" style="299" customWidth="1"/>
    <col min="13" max="13" width="16" style="299" bestFit="1" customWidth="1"/>
    <col min="14" max="16384" width="9.140625" style="299"/>
  </cols>
  <sheetData>
    <row r="1" spans="1:13" ht="18.75">
      <c r="A1" s="297" t="s">
        <v>520</v>
      </c>
      <c r="B1" s="298"/>
    </row>
    <row r="2" spans="1:13" ht="16.5">
      <c r="A2" s="301" t="s">
        <v>1064</v>
      </c>
      <c r="B2" s="298"/>
    </row>
    <row r="3" spans="1:13" ht="15.75" thickBot="1">
      <c r="A3" s="302"/>
      <c r="B3" s="298"/>
    </row>
    <row r="4" spans="1:13">
      <c r="A4" s="303"/>
      <c r="B4" s="304"/>
      <c r="D4" s="303"/>
      <c r="E4" s="304"/>
      <c r="G4" s="303"/>
      <c r="H4" s="304"/>
      <c r="J4" s="303"/>
      <c r="K4" s="304"/>
    </row>
    <row r="5" spans="1:13">
      <c r="A5" s="305" t="s">
        <v>33</v>
      </c>
      <c r="B5" s="306" t="s">
        <v>521</v>
      </c>
      <c r="D5" s="305" t="s">
        <v>33</v>
      </c>
      <c r="E5" s="306" t="s">
        <v>521</v>
      </c>
      <c r="G5" s="305" t="s">
        <v>33</v>
      </c>
      <c r="H5" s="306" t="s">
        <v>521</v>
      </c>
      <c r="J5" s="305" t="s">
        <v>35</v>
      </c>
      <c r="K5" s="306" t="s">
        <v>521</v>
      </c>
    </row>
    <row r="6" spans="1:13">
      <c r="A6" s="300" t="s">
        <v>522</v>
      </c>
      <c r="B6" s="1003">
        <v>1033231.49</v>
      </c>
      <c r="C6" s="307"/>
      <c r="D6" s="300" t="s">
        <v>523</v>
      </c>
      <c r="E6" s="1003">
        <v>1167741.03</v>
      </c>
      <c r="F6" s="307"/>
      <c r="G6" s="300" t="s">
        <v>524</v>
      </c>
      <c r="H6" s="1003">
        <v>779161.21</v>
      </c>
      <c r="I6" s="307"/>
      <c r="J6" s="300" t="s">
        <v>525</v>
      </c>
      <c r="K6" s="1003">
        <v>2900974.54</v>
      </c>
      <c r="L6" s="307"/>
      <c r="M6" s="308"/>
    </row>
    <row r="7" spans="1:13">
      <c r="A7" s="300" t="s">
        <v>526</v>
      </c>
      <c r="B7" s="307">
        <v>4654244.96</v>
      </c>
      <c r="C7" s="307"/>
      <c r="D7" s="300" t="s">
        <v>527</v>
      </c>
      <c r="E7" s="307">
        <v>5003482.7699999996</v>
      </c>
      <c r="F7" s="307"/>
      <c r="G7" s="300" t="s">
        <v>528</v>
      </c>
      <c r="H7" s="307">
        <v>1198769.69</v>
      </c>
      <c r="I7" s="307"/>
      <c r="J7" s="300" t="s">
        <v>529</v>
      </c>
      <c r="K7" s="307">
        <v>734958.24</v>
      </c>
      <c r="L7" s="307"/>
      <c r="M7" s="308"/>
    </row>
    <row r="8" spans="1:13">
      <c r="A8" s="300" t="s">
        <v>530</v>
      </c>
      <c r="B8" s="307">
        <v>416198.25</v>
      </c>
      <c r="C8" s="307"/>
      <c r="D8" s="300" t="s">
        <v>531</v>
      </c>
      <c r="E8" s="307">
        <v>13214148.15</v>
      </c>
      <c r="F8" s="307"/>
      <c r="G8" s="300" t="s">
        <v>532</v>
      </c>
      <c r="H8" s="307">
        <v>591508.88</v>
      </c>
      <c r="I8" s="307"/>
      <c r="J8" s="300" t="s">
        <v>533</v>
      </c>
      <c r="K8" s="307">
        <v>913515.18</v>
      </c>
      <c r="L8" s="307"/>
      <c r="M8" s="308"/>
    </row>
    <row r="9" spans="1:13">
      <c r="A9" s="300" t="s">
        <v>534</v>
      </c>
      <c r="B9" s="307">
        <v>255180.39</v>
      </c>
      <c r="C9" s="307"/>
      <c r="D9" s="300" t="s">
        <v>535</v>
      </c>
      <c r="E9" s="307">
        <v>2333493.0299999998</v>
      </c>
      <c r="F9" s="307"/>
      <c r="G9" s="300" t="s">
        <v>536</v>
      </c>
      <c r="H9" s="307">
        <v>559962.97</v>
      </c>
      <c r="I9" s="307"/>
      <c r="J9" s="300" t="s">
        <v>537</v>
      </c>
      <c r="K9" s="307">
        <v>11707084.66</v>
      </c>
      <c r="L9" s="307"/>
      <c r="M9" s="308"/>
    </row>
    <row r="10" spans="1:13">
      <c r="A10" s="300" t="s">
        <v>538</v>
      </c>
      <c r="B10" s="307">
        <v>1272041.8</v>
      </c>
      <c r="C10" s="307"/>
      <c r="D10" s="300" t="s">
        <v>539</v>
      </c>
      <c r="E10" s="307">
        <v>75841.36</v>
      </c>
      <c r="F10" s="307"/>
      <c r="G10" s="300" t="s">
        <v>540</v>
      </c>
      <c r="H10" s="307">
        <v>4736107.8600000003</v>
      </c>
      <c r="I10" s="307"/>
      <c r="J10" s="300" t="s">
        <v>541</v>
      </c>
      <c r="K10" s="307">
        <v>22005469.390000001</v>
      </c>
      <c r="L10" s="307"/>
      <c r="M10" s="308"/>
    </row>
    <row r="11" spans="1:13">
      <c r="A11" s="300"/>
      <c r="B11" s="307"/>
      <c r="C11" s="307"/>
      <c r="D11" s="300"/>
      <c r="E11" s="307"/>
      <c r="F11" s="307"/>
      <c r="G11" s="300"/>
      <c r="H11" s="307"/>
      <c r="I11" s="307"/>
      <c r="J11" s="300"/>
      <c r="K11" s="307"/>
      <c r="L11" s="307"/>
      <c r="M11" s="308"/>
    </row>
    <row r="12" spans="1:13">
      <c r="A12" s="300" t="s">
        <v>542</v>
      </c>
      <c r="B12" s="307">
        <v>566169.56000000006</v>
      </c>
      <c r="C12" s="307"/>
      <c r="D12" s="300" t="s">
        <v>543</v>
      </c>
      <c r="E12" s="307">
        <v>1338972.8400000001</v>
      </c>
      <c r="F12" s="307"/>
      <c r="G12" s="300" t="s">
        <v>544</v>
      </c>
      <c r="H12" s="307">
        <v>5823188.5999999996</v>
      </c>
      <c r="I12" s="307"/>
      <c r="J12" s="300" t="s">
        <v>545</v>
      </c>
      <c r="K12" s="307">
        <v>212150.65</v>
      </c>
      <c r="L12" s="307"/>
      <c r="M12" s="308"/>
    </row>
    <row r="13" spans="1:13">
      <c r="A13" s="300" t="s">
        <v>546</v>
      </c>
      <c r="B13" s="307">
        <v>7552603.9699999997</v>
      </c>
      <c r="C13" s="307"/>
      <c r="D13" s="300" t="s">
        <v>547</v>
      </c>
      <c r="E13" s="307">
        <v>1713158.87</v>
      </c>
      <c r="F13" s="307"/>
      <c r="G13" s="300" t="s">
        <v>548</v>
      </c>
      <c r="H13" s="307">
        <v>51641.599999999999</v>
      </c>
      <c r="I13" s="307"/>
      <c r="J13" s="300" t="s">
        <v>549</v>
      </c>
      <c r="K13" s="307">
        <v>1847983.8</v>
      </c>
      <c r="L13" s="307"/>
      <c r="M13" s="308"/>
    </row>
    <row r="14" spans="1:13">
      <c r="A14" s="300" t="s">
        <v>550</v>
      </c>
      <c r="B14" s="307">
        <v>2512121.39</v>
      </c>
      <c r="C14" s="307"/>
      <c r="D14" s="300" t="s">
        <v>551</v>
      </c>
      <c r="E14" s="307">
        <v>176479.66</v>
      </c>
      <c r="F14" s="307"/>
      <c r="G14" s="300" t="s">
        <v>552</v>
      </c>
      <c r="H14" s="307">
        <v>176147.4</v>
      </c>
      <c r="I14" s="307"/>
      <c r="J14" s="300" t="s">
        <v>553</v>
      </c>
      <c r="K14" s="307">
        <v>414419.56</v>
      </c>
      <c r="L14" s="307"/>
      <c r="M14" s="308"/>
    </row>
    <row r="15" spans="1:13">
      <c r="A15" s="300" t="s">
        <v>554</v>
      </c>
      <c r="B15" s="307">
        <v>116003.33</v>
      </c>
      <c r="C15" s="307"/>
      <c r="D15" s="300" t="s">
        <v>555</v>
      </c>
      <c r="E15" s="307">
        <v>388861.53</v>
      </c>
      <c r="F15" s="307"/>
      <c r="G15" s="300" t="s">
        <v>556</v>
      </c>
      <c r="H15" s="307">
        <v>604767.23</v>
      </c>
      <c r="I15" s="307"/>
      <c r="J15" s="300" t="s">
        <v>557</v>
      </c>
      <c r="K15" s="307">
        <v>8343034.5800000001</v>
      </c>
      <c r="L15" s="307"/>
      <c r="M15" s="308"/>
    </row>
    <row r="16" spans="1:13">
      <c r="A16" s="300" t="s">
        <v>558</v>
      </c>
      <c r="B16" s="307">
        <v>1924590.5</v>
      </c>
      <c r="C16" s="307"/>
      <c r="D16" s="300" t="s">
        <v>559</v>
      </c>
      <c r="E16" s="307">
        <v>360217.07</v>
      </c>
      <c r="F16" s="307"/>
      <c r="G16" s="300" t="s">
        <v>560</v>
      </c>
      <c r="H16" s="307">
        <v>895080.44</v>
      </c>
      <c r="I16" s="307"/>
      <c r="J16" s="300" t="s">
        <v>561</v>
      </c>
      <c r="K16" s="307">
        <v>749869.12</v>
      </c>
      <c r="L16" s="307"/>
      <c r="M16" s="308"/>
    </row>
    <row r="17" spans="1:13">
      <c r="B17" s="307"/>
      <c r="C17" s="307"/>
      <c r="D17" s="300"/>
      <c r="E17" s="307"/>
      <c r="F17" s="307"/>
      <c r="I17" s="307"/>
      <c r="J17" s="300"/>
      <c r="K17" s="307"/>
      <c r="L17" s="307"/>
      <c r="M17" s="308"/>
    </row>
    <row r="18" spans="1:13">
      <c r="A18" s="300" t="s">
        <v>562</v>
      </c>
      <c r="B18" s="307">
        <v>105019.87</v>
      </c>
      <c r="C18" s="307"/>
      <c r="D18" s="997" t="s">
        <v>563</v>
      </c>
      <c r="E18" s="998">
        <v>332863.53000000003</v>
      </c>
      <c r="F18" s="307"/>
      <c r="G18" s="300" t="s">
        <v>564</v>
      </c>
      <c r="H18" s="307">
        <v>1624353.5</v>
      </c>
      <c r="I18" s="307"/>
      <c r="J18" s="300" t="s">
        <v>565</v>
      </c>
      <c r="K18" s="307">
        <v>20614005.600000001</v>
      </c>
      <c r="L18" s="307"/>
      <c r="M18" s="308"/>
    </row>
    <row r="19" spans="1:13">
      <c r="A19" s="300" t="s">
        <v>566</v>
      </c>
      <c r="B19" s="307">
        <v>718991.84</v>
      </c>
      <c r="C19" s="307"/>
      <c r="D19" s="300" t="s">
        <v>567</v>
      </c>
      <c r="E19" s="307">
        <v>423056.6</v>
      </c>
      <c r="F19" s="307"/>
      <c r="G19" s="300" t="s">
        <v>568</v>
      </c>
      <c r="H19" s="307">
        <v>639559.4</v>
      </c>
      <c r="I19" s="307"/>
      <c r="J19" s="300" t="s">
        <v>569</v>
      </c>
      <c r="K19" s="307">
        <v>6987552.96</v>
      </c>
      <c r="L19" s="307"/>
      <c r="M19" s="308"/>
    </row>
    <row r="20" spans="1:13">
      <c r="A20" s="300" t="s">
        <v>570</v>
      </c>
      <c r="B20" s="307">
        <v>420773.25</v>
      </c>
      <c r="C20" s="307"/>
      <c r="D20" s="300" t="s">
        <v>571</v>
      </c>
      <c r="E20" s="307">
        <v>11688553.33</v>
      </c>
      <c r="F20" s="307"/>
      <c r="G20" s="300" t="s">
        <v>572</v>
      </c>
      <c r="H20" s="307">
        <v>1009077.94</v>
      </c>
      <c r="I20" s="307"/>
      <c r="J20" s="300" t="s">
        <v>573</v>
      </c>
      <c r="K20" s="307">
        <v>1073956.8600000001</v>
      </c>
      <c r="L20" s="307"/>
      <c r="M20" s="308"/>
    </row>
    <row r="21" spans="1:13">
      <c r="A21" s="300" t="s">
        <v>574</v>
      </c>
      <c r="B21" s="307">
        <v>848640.45</v>
      </c>
      <c r="C21" s="307"/>
      <c r="D21" s="300" t="s">
        <v>575</v>
      </c>
      <c r="E21" s="307">
        <v>349342.99</v>
      </c>
      <c r="F21" s="307"/>
      <c r="G21" s="300" t="s">
        <v>576</v>
      </c>
      <c r="H21" s="307">
        <v>766394.84</v>
      </c>
      <c r="I21" s="307"/>
      <c r="J21" s="300" t="s">
        <v>577</v>
      </c>
      <c r="K21" s="307">
        <v>1405142.69</v>
      </c>
      <c r="L21" s="307"/>
      <c r="M21" s="308"/>
    </row>
    <row r="22" spans="1:13">
      <c r="A22" s="300" t="s">
        <v>578</v>
      </c>
      <c r="B22" s="307">
        <v>425554.34</v>
      </c>
      <c r="C22" s="307"/>
      <c r="D22" s="300" t="s">
        <v>579</v>
      </c>
      <c r="E22" s="307">
        <v>207390.61</v>
      </c>
      <c r="F22" s="307"/>
      <c r="G22" s="300" t="s">
        <v>580</v>
      </c>
      <c r="H22" s="307">
        <v>1321614.53</v>
      </c>
      <c r="I22" s="307"/>
      <c r="J22" s="300" t="s">
        <v>581</v>
      </c>
      <c r="K22" s="307">
        <v>3520164.95</v>
      </c>
      <c r="L22" s="307"/>
      <c r="M22" s="308"/>
    </row>
    <row r="23" spans="1:13">
      <c r="B23" s="307"/>
      <c r="C23" s="307"/>
      <c r="D23" s="300"/>
      <c r="E23" s="307"/>
      <c r="F23" s="307"/>
      <c r="G23" s="309" t="s">
        <v>34</v>
      </c>
      <c r="H23" s="310">
        <f>SUM(B6:B52,E6:E52,H6:H22)</f>
        <v>237243991.75</v>
      </c>
      <c r="J23" s="300"/>
      <c r="K23" s="307"/>
      <c r="L23" s="307"/>
      <c r="M23" s="308"/>
    </row>
    <row r="24" spans="1:13">
      <c r="A24" s="300" t="s">
        <v>582</v>
      </c>
      <c r="B24" s="307">
        <v>1399289.35</v>
      </c>
      <c r="C24" s="307"/>
      <c r="D24" s="300" t="s">
        <v>583</v>
      </c>
      <c r="E24" s="307">
        <v>583716.99</v>
      </c>
      <c r="F24" s="307"/>
      <c r="G24" s="311"/>
      <c r="H24" s="312"/>
      <c r="J24" s="300" t="s">
        <v>38</v>
      </c>
      <c r="K24" s="307">
        <v>26248276.09</v>
      </c>
      <c r="L24" s="307"/>
      <c r="M24" s="308"/>
    </row>
    <row r="25" spans="1:13">
      <c r="A25" s="300" t="s">
        <v>584</v>
      </c>
      <c r="B25" s="307">
        <v>788504.69</v>
      </c>
      <c r="C25" s="307"/>
      <c r="D25" s="300" t="s">
        <v>585</v>
      </c>
      <c r="E25" s="307">
        <v>450759.1</v>
      </c>
      <c r="F25" s="307"/>
      <c r="G25" s="311"/>
      <c r="H25" s="312"/>
      <c r="J25" s="300" t="s">
        <v>586</v>
      </c>
      <c r="K25" s="307">
        <v>1304046.06</v>
      </c>
      <c r="L25" s="307"/>
      <c r="M25" s="308"/>
    </row>
    <row r="26" spans="1:13">
      <c r="A26" s="300" t="s">
        <v>587</v>
      </c>
      <c r="B26" s="307">
        <v>1016482.97</v>
      </c>
      <c r="C26" s="307"/>
      <c r="D26" s="300" t="s">
        <v>588</v>
      </c>
      <c r="E26" s="307">
        <v>579701.26</v>
      </c>
      <c r="F26" s="307"/>
      <c r="G26" s="311"/>
      <c r="H26" s="312"/>
      <c r="J26" s="300" t="s">
        <v>589</v>
      </c>
      <c r="K26" s="307">
        <v>722368.46</v>
      </c>
      <c r="L26" s="307"/>
      <c r="M26" s="308"/>
    </row>
    <row r="27" spans="1:13" ht="13.5" thickBot="1">
      <c r="A27" s="300" t="s">
        <v>590</v>
      </c>
      <c r="B27" s="307">
        <v>155425.21</v>
      </c>
      <c r="C27" s="307"/>
      <c r="D27" s="300" t="s">
        <v>591</v>
      </c>
      <c r="E27" s="307">
        <v>441218</v>
      </c>
      <c r="F27" s="307"/>
      <c r="J27" s="300" t="s">
        <v>592</v>
      </c>
      <c r="K27" s="307">
        <v>2147413.4300000002</v>
      </c>
      <c r="L27" s="307"/>
      <c r="M27" s="308"/>
    </row>
    <row r="28" spans="1:13">
      <c r="A28" s="300" t="s">
        <v>593</v>
      </c>
      <c r="B28" s="307">
        <v>129101.87000000001</v>
      </c>
      <c r="C28" s="307"/>
      <c r="D28" s="300" t="s">
        <v>594</v>
      </c>
      <c r="E28" s="307">
        <v>1023404.38</v>
      </c>
      <c r="F28" s="307"/>
      <c r="G28" s="303"/>
      <c r="H28" s="304"/>
      <c r="J28" s="309" t="s">
        <v>39</v>
      </c>
      <c r="K28" s="310">
        <f>SUM(K6:K27,H30:H52)</f>
        <v>166597681.54999995</v>
      </c>
      <c r="M28" s="308"/>
    </row>
    <row r="29" spans="1:13">
      <c r="B29" s="307"/>
      <c r="C29" s="307"/>
      <c r="D29" s="300"/>
      <c r="E29" s="307"/>
      <c r="F29" s="307"/>
      <c r="G29" s="305" t="s">
        <v>35</v>
      </c>
      <c r="H29" s="306" t="s">
        <v>521</v>
      </c>
      <c r="M29" s="308"/>
    </row>
    <row r="30" spans="1:13">
      <c r="A30" s="300" t="s">
        <v>595</v>
      </c>
      <c r="B30" s="307">
        <v>14631754.460000001</v>
      </c>
      <c r="C30" s="307"/>
      <c r="D30" s="300" t="s">
        <v>596</v>
      </c>
      <c r="E30" s="307">
        <v>476127.91</v>
      </c>
      <c r="F30" s="307"/>
      <c r="G30" s="300" t="s">
        <v>597</v>
      </c>
      <c r="H30" s="1003">
        <v>10861480.32</v>
      </c>
      <c r="I30" s="307"/>
      <c r="M30" s="308"/>
    </row>
    <row r="31" spans="1:13">
      <c r="A31" s="300" t="s">
        <v>598</v>
      </c>
      <c r="B31" s="307">
        <v>431559.14</v>
      </c>
      <c r="C31" s="307"/>
      <c r="D31" s="300" t="s">
        <v>599</v>
      </c>
      <c r="E31" s="307">
        <v>599124.12</v>
      </c>
      <c r="F31" s="307"/>
      <c r="G31" s="300" t="s">
        <v>558</v>
      </c>
      <c r="H31" s="307">
        <v>141658.04</v>
      </c>
      <c r="I31" s="307"/>
      <c r="M31" s="308"/>
    </row>
    <row r="32" spans="1:13">
      <c r="A32" s="300" t="s">
        <v>600</v>
      </c>
      <c r="B32" s="307">
        <v>116003.32</v>
      </c>
      <c r="C32" s="307"/>
      <c r="D32" s="300" t="s">
        <v>601</v>
      </c>
      <c r="E32" s="307">
        <v>510419.67</v>
      </c>
      <c r="F32" s="307"/>
      <c r="G32" s="300" t="s">
        <v>602</v>
      </c>
      <c r="H32" s="307">
        <v>609270.80000000005</v>
      </c>
      <c r="I32" s="307"/>
      <c r="M32" s="308"/>
    </row>
    <row r="33" spans="1:13">
      <c r="A33" s="300" t="s">
        <v>603</v>
      </c>
      <c r="B33" s="307">
        <v>2044714.66</v>
      </c>
      <c r="C33" s="307"/>
      <c r="D33" s="300" t="s">
        <v>604</v>
      </c>
      <c r="E33" s="307">
        <v>384299.09</v>
      </c>
      <c r="F33" s="307"/>
      <c r="G33" s="300" t="s">
        <v>605</v>
      </c>
      <c r="H33" s="307">
        <v>316766.83</v>
      </c>
      <c r="I33" s="307"/>
      <c r="M33" s="308"/>
    </row>
    <row r="34" spans="1:13">
      <c r="A34" s="300" t="s">
        <v>606</v>
      </c>
      <c r="B34" s="307">
        <v>384564.04</v>
      </c>
      <c r="C34" s="307"/>
      <c r="D34" s="300" t="s">
        <v>607</v>
      </c>
      <c r="E34" s="307">
        <v>349061.27</v>
      </c>
      <c r="F34" s="307"/>
      <c r="G34" s="300" t="s">
        <v>608</v>
      </c>
      <c r="H34" s="307">
        <v>3218052.53</v>
      </c>
      <c r="I34" s="307"/>
      <c r="M34" s="308"/>
    </row>
    <row r="35" spans="1:13">
      <c r="B35" s="307"/>
      <c r="C35" s="307"/>
      <c r="D35" s="300"/>
      <c r="E35" s="307"/>
      <c r="F35" s="307"/>
      <c r="G35" s="300"/>
      <c r="H35" s="307"/>
      <c r="I35" s="307"/>
      <c r="M35" s="308"/>
    </row>
    <row r="36" spans="1:13">
      <c r="A36" s="300" t="s">
        <v>609</v>
      </c>
      <c r="B36" s="307">
        <v>495870.38</v>
      </c>
      <c r="C36" s="307"/>
      <c r="D36" s="300" t="s">
        <v>610</v>
      </c>
      <c r="E36" s="307">
        <v>1438774.22</v>
      </c>
      <c r="F36" s="307"/>
      <c r="G36" s="300" t="s">
        <v>611</v>
      </c>
      <c r="H36" s="307">
        <v>11952286.630000001</v>
      </c>
      <c r="I36" s="307"/>
      <c r="M36" s="308"/>
    </row>
    <row r="37" spans="1:13">
      <c r="A37" s="300" t="s">
        <v>612</v>
      </c>
      <c r="B37" s="307">
        <v>926571.63</v>
      </c>
      <c r="C37" s="307"/>
      <c r="D37" s="300" t="s">
        <v>613</v>
      </c>
      <c r="E37" s="307">
        <v>491850.4</v>
      </c>
      <c r="F37" s="307"/>
      <c r="G37" s="300" t="s">
        <v>614</v>
      </c>
      <c r="H37" s="307">
        <v>699337.72</v>
      </c>
      <c r="I37" s="307"/>
      <c r="M37" s="308"/>
    </row>
    <row r="38" spans="1:13">
      <c r="A38" s="300" t="s">
        <v>615</v>
      </c>
      <c r="B38" s="307">
        <v>353875.92</v>
      </c>
      <c r="C38" s="307"/>
      <c r="D38" s="300" t="s">
        <v>616</v>
      </c>
      <c r="E38" s="307">
        <v>491097.7</v>
      </c>
      <c r="F38" s="307"/>
      <c r="G38" s="300" t="s">
        <v>617</v>
      </c>
      <c r="H38" s="307">
        <v>312061.45</v>
      </c>
      <c r="I38" s="307"/>
      <c r="M38" s="308"/>
    </row>
    <row r="39" spans="1:13">
      <c r="A39" s="300" t="s">
        <v>618</v>
      </c>
      <c r="B39" s="307">
        <v>79451978.900000006</v>
      </c>
      <c r="C39" s="307"/>
      <c r="D39" s="300" t="s">
        <v>619</v>
      </c>
      <c r="E39" s="307">
        <v>2281973.38</v>
      </c>
      <c r="F39" s="307"/>
      <c r="G39" s="300" t="s">
        <v>620</v>
      </c>
      <c r="H39" s="307">
        <v>3235511.76</v>
      </c>
      <c r="I39" s="307"/>
      <c r="M39" s="308"/>
    </row>
    <row r="40" spans="1:13">
      <c r="A40" s="300" t="s">
        <v>621</v>
      </c>
      <c r="B40" s="307">
        <v>2909397.16</v>
      </c>
      <c r="C40" s="307"/>
      <c r="D40" s="300" t="s">
        <v>622</v>
      </c>
      <c r="E40" s="307">
        <v>865414.17</v>
      </c>
      <c r="F40" s="307"/>
      <c r="G40" s="300" t="s">
        <v>623</v>
      </c>
      <c r="H40" s="307">
        <v>268190.67</v>
      </c>
      <c r="I40" s="307"/>
      <c r="M40" s="308"/>
    </row>
    <row r="41" spans="1:13">
      <c r="C41" s="307"/>
      <c r="D41" s="300"/>
      <c r="E41" s="307"/>
      <c r="F41" s="307"/>
      <c r="G41" s="300"/>
      <c r="H41" s="307"/>
      <c r="I41" s="307"/>
      <c r="M41" s="308"/>
    </row>
    <row r="42" spans="1:13">
      <c r="A42" s="300" t="s">
        <v>624</v>
      </c>
      <c r="B42" s="307">
        <v>623395.44000000006</v>
      </c>
      <c r="C42" s="307"/>
      <c r="D42" s="300" t="s">
        <v>625</v>
      </c>
      <c r="E42" s="307">
        <v>312877.23</v>
      </c>
      <c r="F42" s="307"/>
      <c r="G42" s="300" t="s">
        <v>618</v>
      </c>
      <c r="H42" s="307">
        <v>2284168.4</v>
      </c>
      <c r="I42" s="307"/>
      <c r="M42" s="308"/>
    </row>
    <row r="43" spans="1:13">
      <c r="A43" s="300" t="s">
        <v>626</v>
      </c>
      <c r="B43" s="307">
        <v>842021.71</v>
      </c>
      <c r="C43" s="307"/>
      <c r="D43" s="300" t="s">
        <v>627</v>
      </c>
      <c r="E43" s="307">
        <v>1280737.72</v>
      </c>
      <c r="F43" s="307"/>
      <c r="G43" s="300" t="s">
        <v>628</v>
      </c>
      <c r="H43" s="307">
        <v>864076.94</v>
      </c>
      <c r="I43" s="307"/>
      <c r="M43" s="308"/>
    </row>
    <row r="44" spans="1:13">
      <c r="A44" s="300" t="s">
        <v>629</v>
      </c>
      <c r="B44" s="307">
        <v>2231013.0099999998</v>
      </c>
      <c r="C44" s="307"/>
      <c r="D44" s="300" t="s">
        <v>630</v>
      </c>
      <c r="E44" s="307">
        <v>19468416.449999999</v>
      </c>
      <c r="F44" s="307"/>
      <c r="G44" s="300" t="s">
        <v>629</v>
      </c>
      <c r="H44" s="307">
        <v>558247.28</v>
      </c>
      <c r="I44" s="307"/>
      <c r="M44" s="308"/>
    </row>
    <row r="45" spans="1:13">
      <c r="A45" s="300" t="s">
        <v>631</v>
      </c>
      <c r="B45" s="307">
        <v>1356982.83</v>
      </c>
      <c r="C45" s="307"/>
      <c r="D45" s="300" t="s">
        <v>632</v>
      </c>
      <c r="E45" s="307">
        <v>827842.48</v>
      </c>
      <c r="F45" s="307"/>
      <c r="G45" s="300" t="s">
        <v>633</v>
      </c>
      <c r="H45" s="307">
        <v>1788722.75</v>
      </c>
      <c r="I45" s="307"/>
      <c r="M45" s="308"/>
    </row>
    <row r="46" spans="1:13">
      <c r="A46" s="300" t="s">
        <v>634</v>
      </c>
      <c r="B46" s="307">
        <v>254284.76</v>
      </c>
      <c r="C46" s="307"/>
      <c r="D46" s="300" t="s">
        <v>635</v>
      </c>
      <c r="E46" s="307">
        <v>348581.88</v>
      </c>
      <c r="F46" s="307"/>
      <c r="G46" s="300" t="s">
        <v>636</v>
      </c>
      <c r="H46" s="307">
        <v>234777.72</v>
      </c>
      <c r="I46" s="307"/>
      <c r="M46" s="308"/>
    </row>
    <row r="47" spans="1:13">
      <c r="A47" s="300"/>
      <c r="C47" s="307"/>
      <c r="D47" s="300"/>
      <c r="E47" s="307"/>
      <c r="F47" s="307"/>
      <c r="G47" s="300"/>
      <c r="H47" s="307"/>
      <c r="I47" s="307"/>
      <c r="M47" s="308"/>
    </row>
    <row r="48" spans="1:13">
      <c r="A48" s="300" t="s">
        <v>637</v>
      </c>
      <c r="B48" s="307">
        <v>1535897.14</v>
      </c>
      <c r="C48" s="307"/>
      <c r="D48" s="300" t="s">
        <v>565</v>
      </c>
      <c r="E48" s="307">
        <v>309025.44</v>
      </c>
      <c r="F48" s="307"/>
      <c r="G48" s="300" t="s">
        <v>638</v>
      </c>
      <c r="H48" s="307">
        <v>9194387.2100000009</v>
      </c>
      <c r="I48" s="307"/>
      <c r="M48" s="308"/>
    </row>
    <row r="49" spans="1:14">
      <c r="A49" s="300" t="s">
        <v>639</v>
      </c>
      <c r="B49" s="307">
        <v>859379.96</v>
      </c>
      <c r="C49" s="307"/>
      <c r="D49" s="300" t="s">
        <v>569</v>
      </c>
      <c r="E49" s="307">
        <v>3959873.34</v>
      </c>
      <c r="F49" s="307"/>
      <c r="G49" s="300" t="s">
        <v>640</v>
      </c>
      <c r="H49" s="307">
        <v>1626128.03</v>
      </c>
      <c r="I49" s="307"/>
      <c r="M49" s="308"/>
    </row>
    <row r="50" spans="1:14">
      <c r="A50" s="300" t="s">
        <v>641</v>
      </c>
      <c r="B50" s="307">
        <v>382541.4</v>
      </c>
      <c r="C50" s="307"/>
      <c r="D50" s="300" t="s">
        <v>642</v>
      </c>
      <c r="E50" s="307">
        <v>937239.77</v>
      </c>
      <c r="F50" s="307"/>
      <c r="G50" s="300" t="s">
        <v>643</v>
      </c>
      <c r="H50" s="307">
        <v>847580.76</v>
      </c>
      <c r="I50" s="307"/>
      <c r="M50" s="308"/>
    </row>
    <row r="51" spans="1:14">
      <c r="A51" s="300" t="s">
        <v>644</v>
      </c>
      <c r="B51" s="307">
        <v>495126.09</v>
      </c>
      <c r="C51" s="307"/>
      <c r="D51" s="300" t="s">
        <v>645</v>
      </c>
      <c r="E51" s="307">
        <v>1601045.2</v>
      </c>
      <c r="F51" s="307"/>
      <c r="G51" s="300" t="s">
        <v>646</v>
      </c>
      <c r="H51" s="307">
        <v>323091.14</v>
      </c>
      <c r="I51" s="307"/>
      <c r="M51" s="308"/>
    </row>
    <row r="52" spans="1:14">
      <c r="A52" s="300" t="s">
        <v>647</v>
      </c>
      <c r="B52" s="307">
        <v>178111.14</v>
      </c>
      <c r="C52" s="307"/>
      <c r="D52" s="300" t="s">
        <v>648</v>
      </c>
      <c r="E52" s="307">
        <v>865258.55</v>
      </c>
      <c r="F52" s="307"/>
      <c r="G52" s="300" t="s">
        <v>649</v>
      </c>
      <c r="H52" s="307">
        <v>3409497.75</v>
      </c>
      <c r="I52" s="307"/>
      <c r="M52" s="308"/>
    </row>
    <row r="53" spans="1:14" ht="18.75">
      <c r="A53" s="297" t="s">
        <v>650</v>
      </c>
      <c r="B53" s="298"/>
    </row>
    <row r="54" spans="1:14" ht="16.5">
      <c r="A54" s="301" t="s">
        <v>1064</v>
      </c>
      <c r="B54" s="298"/>
      <c r="D54" s="300"/>
      <c r="E54" s="313"/>
    </row>
    <row r="55" spans="1:14" ht="13.5" thickBot="1">
      <c r="D55" s="300"/>
      <c r="E55" s="313"/>
    </row>
    <row r="56" spans="1:14">
      <c r="A56" s="303"/>
      <c r="B56" s="304"/>
      <c r="D56" s="303"/>
      <c r="E56" s="304"/>
      <c r="G56" s="303"/>
      <c r="H56" s="304"/>
      <c r="J56" s="303"/>
      <c r="K56" s="304"/>
    </row>
    <row r="57" spans="1:14">
      <c r="A57" s="305" t="s">
        <v>651</v>
      </c>
      <c r="B57" s="306" t="s">
        <v>521</v>
      </c>
      <c r="D57" s="305" t="s">
        <v>651</v>
      </c>
      <c r="E57" s="306" t="s">
        <v>521</v>
      </c>
      <c r="G57" s="305" t="s">
        <v>651</v>
      </c>
      <c r="H57" s="306" t="s">
        <v>521</v>
      </c>
      <c r="J57" s="305" t="s">
        <v>651</v>
      </c>
      <c r="K57" s="306" t="s">
        <v>521</v>
      </c>
    </row>
    <row r="58" spans="1:14">
      <c r="A58" s="314" t="s">
        <v>652</v>
      </c>
      <c r="B58" s="1003">
        <v>121734.74</v>
      </c>
      <c r="C58" s="307"/>
      <c r="D58" s="300" t="s">
        <v>603</v>
      </c>
      <c r="E58" s="1003">
        <v>123433.62</v>
      </c>
      <c r="F58" s="307"/>
      <c r="G58" s="300" t="s">
        <v>653</v>
      </c>
      <c r="H58" s="1003">
        <v>81387.740000000005</v>
      </c>
      <c r="I58" s="307"/>
      <c r="J58" s="300" t="s">
        <v>654</v>
      </c>
      <c r="K58" s="1003">
        <v>1404.46</v>
      </c>
      <c r="L58" s="307"/>
      <c r="M58" s="308"/>
      <c r="N58" s="308"/>
    </row>
    <row r="59" spans="1:14">
      <c r="A59" s="300" t="s">
        <v>655</v>
      </c>
      <c r="B59" s="307">
        <v>5403.45</v>
      </c>
      <c r="C59" s="307"/>
      <c r="D59" s="300" t="s">
        <v>656</v>
      </c>
      <c r="E59" s="307">
        <v>24977.66</v>
      </c>
      <c r="F59" s="307"/>
      <c r="G59" s="300" t="s">
        <v>657</v>
      </c>
      <c r="H59" s="307">
        <v>2174216.0699999998</v>
      </c>
      <c r="I59" s="307"/>
      <c r="J59" s="300" t="s">
        <v>658</v>
      </c>
      <c r="K59" s="307">
        <v>24229.18</v>
      </c>
      <c r="L59" s="307"/>
      <c r="M59" s="308"/>
      <c r="N59" s="308"/>
    </row>
    <row r="60" spans="1:14">
      <c r="A60" s="300" t="s">
        <v>659</v>
      </c>
      <c r="B60" s="307">
        <v>12249.16</v>
      </c>
      <c r="C60" s="307"/>
      <c r="D60" s="300" t="s">
        <v>660</v>
      </c>
      <c r="E60" s="307">
        <v>25621.05</v>
      </c>
      <c r="F60" s="307"/>
      <c r="G60" s="997" t="s">
        <v>575</v>
      </c>
      <c r="H60" s="998">
        <v>7685.87</v>
      </c>
      <c r="I60" s="307"/>
      <c r="J60" s="300" t="s">
        <v>661</v>
      </c>
      <c r="K60" s="307">
        <v>48378.48</v>
      </c>
      <c r="L60" s="307"/>
      <c r="M60" s="308"/>
      <c r="N60" s="308"/>
    </row>
    <row r="61" spans="1:14">
      <c r="A61" s="300" t="s">
        <v>662</v>
      </c>
      <c r="B61" s="307">
        <v>40843.160000000003</v>
      </c>
      <c r="C61" s="307"/>
      <c r="D61" s="300" t="s">
        <v>663</v>
      </c>
      <c r="E61" s="307">
        <v>3919.04</v>
      </c>
      <c r="F61" s="307"/>
      <c r="G61" s="300" t="s">
        <v>664</v>
      </c>
      <c r="H61" s="307">
        <v>13418.14</v>
      </c>
      <c r="I61" s="307"/>
      <c r="J61" s="300" t="s">
        <v>665</v>
      </c>
      <c r="K61" s="307">
        <v>17778.73</v>
      </c>
      <c r="L61" s="307"/>
      <c r="M61" s="308"/>
      <c r="N61" s="308"/>
    </row>
    <row r="62" spans="1:14">
      <c r="A62" s="300" t="s">
        <v>538</v>
      </c>
      <c r="B62" s="307">
        <v>102787.01</v>
      </c>
      <c r="C62" s="307"/>
      <c r="D62" s="300" t="s">
        <v>666</v>
      </c>
      <c r="E62" s="307">
        <v>1421.28</v>
      </c>
      <c r="F62" s="307"/>
      <c r="G62" s="300" t="s">
        <v>667</v>
      </c>
      <c r="H62" s="307">
        <v>77641.100000000006</v>
      </c>
      <c r="I62" s="307"/>
      <c r="J62" s="300" t="s">
        <v>528</v>
      </c>
      <c r="K62" s="307">
        <v>27992.69</v>
      </c>
      <c r="L62" s="307"/>
      <c r="M62" s="308"/>
      <c r="N62" s="315"/>
    </row>
    <row r="63" spans="1:14">
      <c r="A63" s="300"/>
      <c r="B63" s="307"/>
      <c r="C63" s="307"/>
      <c r="F63" s="307"/>
      <c r="I63" s="307"/>
      <c r="L63" s="307"/>
    </row>
    <row r="64" spans="1:14">
      <c r="A64" s="300" t="s">
        <v>668</v>
      </c>
      <c r="B64" s="307">
        <v>39787.71</v>
      </c>
      <c r="C64" s="307"/>
      <c r="D64" s="300" t="s">
        <v>669</v>
      </c>
      <c r="E64" s="307">
        <v>93271.08</v>
      </c>
      <c r="F64" s="307"/>
      <c r="G64" s="300" t="s">
        <v>670</v>
      </c>
      <c r="H64" s="307">
        <v>130943.67999999999</v>
      </c>
      <c r="I64" s="307"/>
      <c r="J64" s="300" t="s">
        <v>671</v>
      </c>
      <c r="K64" s="307">
        <v>237893.68</v>
      </c>
      <c r="L64" s="307"/>
      <c r="M64" s="308"/>
      <c r="N64" s="308"/>
    </row>
    <row r="65" spans="1:14">
      <c r="A65" s="300" t="s">
        <v>542</v>
      </c>
      <c r="B65" s="307">
        <v>6353.79</v>
      </c>
      <c r="C65" s="307"/>
      <c r="D65" s="300" t="s">
        <v>672</v>
      </c>
      <c r="E65" s="307">
        <v>188081.25</v>
      </c>
      <c r="F65" s="307"/>
      <c r="G65" s="300" t="s">
        <v>673</v>
      </c>
      <c r="H65" s="307">
        <v>9154.35</v>
      </c>
      <c r="I65" s="307"/>
      <c r="J65" s="300" t="s">
        <v>674</v>
      </c>
      <c r="K65" s="307">
        <v>785897.57</v>
      </c>
      <c r="L65" s="307"/>
      <c r="M65" s="308"/>
      <c r="N65" s="308"/>
    </row>
    <row r="66" spans="1:14">
      <c r="A66" s="300" t="s">
        <v>675</v>
      </c>
      <c r="B66" s="307">
        <v>274409.87</v>
      </c>
      <c r="C66" s="307"/>
      <c r="D66" s="300" t="s">
        <v>676</v>
      </c>
      <c r="E66" s="307">
        <v>9848.09</v>
      </c>
      <c r="F66" s="307"/>
      <c r="G66" s="300" t="s">
        <v>677</v>
      </c>
      <c r="H66" s="307">
        <v>4125.05</v>
      </c>
      <c r="I66" s="307"/>
      <c r="J66" s="300" t="s">
        <v>678</v>
      </c>
      <c r="K66" s="307">
        <v>178304.58</v>
      </c>
      <c r="L66" s="307"/>
      <c r="M66" s="308"/>
      <c r="N66" s="308"/>
    </row>
    <row r="67" spans="1:14">
      <c r="A67" s="300" t="s">
        <v>679</v>
      </c>
      <c r="B67" s="307">
        <v>93851.36</v>
      </c>
      <c r="C67" s="307"/>
      <c r="D67" s="300" t="s">
        <v>680</v>
      </c>
      <c r="E67" s="307">
        <v>52966.19</v>
      </c>
      <c r="F67" s="307"/>
      <c r="G67" s="300" t="s">
        <v>681</v>
      </c>
      <c r="H67" s="307">
        <v>45548.52</v>
      </c>
      <c r="I67" s="307"/>
      <c r="J67" s="300" t="s">
        <v>682</v>
      </c>
      <c r="K67" s="307">
        <v>3771.84</v>
      </c>
      <c r="L67" s="307"/>
      <c r="M67" s="308"/>
      <c r="N67" s="308"/>
    </row>
    <row r="68" spans="1:14">
      <c r="A68" s="300" t="s">
        <v>683</v>
      </c>
      <c r="B68" s="307">
        <v>192172.7</v>
      </c>
      <c r="C68" s="307"/>
      <c r="D68" s="300" t="s">
        <v>684</v>
      </c>
      <c r="E68" s="307">
        <v>525229.69000000006</v>
      </c>
      <c r="F68" s="307"/>
      <c r="G68" s="300" t="s">
        <v>685</v>
      </c>
      <c r="H68" s="307">
        <v>14410.53</v>
      </c>
      <c r="I68" s="307"/>
      <c r="J68" s="300" t="s">
        <v>686</v>
      </c>
      <c r="K68" s="307">
        <v>16706.5</v>
      </c>
      <c r="L68" s="307"/>
      <c r="M68" s="308"/>
      <c r="N68" s="308"/>
    </row>
    <row r="69" spans="1:14">
      <c r="A69" s="300"/>
      <c r="B69" s="307"/>
      <c r="C69" s="307"/>
      <c r="F69" s="307"/>
      <c r="I69" s="307"/>
      <c r="L69" s="307"/>
    </row>
    <row r="70" spans="1:14">
      <c r="A70" s="300" t="s">
        <v>687</v>
      </c>
      <c r="B70" s="307">
        <v>1241404.18</v>
      </c>
      <c r="C70" s="307"/>
      <c r="D70" s="300" t="s">
        <v>688</v>
      </c>
      <c r="E70" s="307">
        <v>2850.97</v>
      </c>
      <c r="F70" s="307"/>
      <c r="G70" s="300" t="s">
        <v>689</v>
      </c>
      <c r="H70" s="307">
        <v>1808.15</v>
      </c>
      <c r="I70" s="307"/>
      <c r="J70" s="300" t="s">
        <v>690</v>
      </c>
      <c r="K70" s="307">
        <v>27458.68</v>
      </c>
      <c r="L70" s="307"/>
      <c r="M70" s="308"/>
      <c r="N70" s="308"/>
    </row>
    <row r="71" spans="1:14">
      <c r="A71" s="300" t="s">
        <v>691</v>
      </c>
      <c r="B71" s="307">
        <v>17913.27</v>
      </c>
      <c r="C71" s="307"/>
      <c r="D71" s="300" t="s">
        <v>624</v>
      </c>
      <c r="E71" s="307">
        <v>466.74</v>
      </c>
      <c r="F71" s="307"/>
      <c r="G71" s="300" t="s">
        <v>692</v>
      </c>
      <c r="H71" s="307">
        <v>6921.41</v>
      </c>
      <c r="I71" s="307"/>
      <c r="J71" s="300" t="s">
        <v>693</v>
      </c>
      <c r="K71" s="307">
        <v>83725.77</v>
      </c>
      <c r="L71" s="307"/>
      <c r="M71" s="308"/>
      <c r="N71" s="308"/>
    </row>
    <row r="72" spans="1:14">
      <c r="A72" s="300" t="s">
        <v>694</v>
      </c>
      <c r="B72" s="307">
        <v>45785.23</v>
      </c>
      <c r="C72" s="307"/>
      <c r="D72" s="300" t="s">
        <v>695</v>
      </c>
      <c r="E72" s="307">
        <v>12837.88</v>
      </c>
      <c r="F72" s="307"/>
      <c r="G72" s="300" t="s">
        <v>696</v>
      </c>
      <c r="H72" s="307">
        <v>14011.1</v>
      </c>
      <c r="I72" s="307"/>
      <c r="J72" s="300" t="s">
        <v>697</v>
      </c>
      <c r="K72" s="307">
        <v>3187.41</v>
      </c>
      <c r="L72" s="307"/>
      <c r="M72" s="308"/>
      <c r="N72" s="308"/>
    </row>
    <row r="73" spans="1:14">
      <c r="A73" s="300" t="s">
        <v>698</v>
      </c>
      <c r="B73" s="307">
        <v>3363.97</v>
      </c>
      <c r="C73" s="307"/>
      <c r="D73" s="300" t="s">
        <v>699</v>
      </c>
      <c r="E73" s="307">
        <v>171139.29</v>
      </c>
      <c r="F73" s="307"/>
      <c r="G73" s="300" t="s">
        <v>700</v>
      </c>
      <c r="H73" s="307">
        <v>22534.58</v>
      </c>
      <c r="I73" s="307"/>
      <c r="J73" s="300" t="s">
        <v>701</v>
      </c>
      <c r="K73" s="307">
        <v>63688.86</v>
      </c>
      <c r="L73" s="307"/>
      <c r="M73" s="308"/>
      <c r="N73" s="315"/>
    </row>
    <row r="74" spans="1:14">
      <c r="A74" s="300" t="s">
        <v>702</v>
      </c>
      <c r="B74" s="307">
        <v>40981.94</v>
      </c>
      <c r="C74" s="307"/>
      <c r="D74" s="300" t="s">
        <v>703</v>
      </c>
      <c r="E74" s="307">
        <v>39716.26</v>
      </c>
      <c r="F74" s="307"/>
      <c r="G74" s="300" t="s">
        <v>704</v>
      </c>
      <c r="H74" s="307">
        <v>44665.51</v>
      </c>
      <c r="I74" s="307"/>
      <c r="J74" s="997" t="s">
        <v>556</v>
      </c>
      <c r="K74" s="998">
        <v>31532.11</v>
      </c>
      <c r="L74" s="307"/>
      <c r="M74" s="308"/>
      <c r="N74" s="308"/>
    </row>
    <row r="75" spans="1:14">
      <c r="A75" s="300"/>
      <c r="B75" s="307"/>
      <c r="C75" s="307"/>
      <c r="F75" s="307"/>
      <c r="I75" s="307"/>
      <c r="L75" s="307"/>
    </row>
    <row r="76" spans="1:14">
      <c r="A76" s="300" t="s">
        <v>705</v>
      </c>
      <c r="B76" s="307">
        <v>2497.77</v>
      </c>
      <c r="C76" s="307"/>
      <c r="D76" s="300" t="s">
        <v>706</v>
      </c>
      <c r="E76" s="307">
        <v>29195.31</v>
      </c>
      <c r="F76" s="307"/>
      <c r="G76" s="300" t="s">
        <v>707</v>
      </c>
      <c r="H76" s="307">
        <v>2337.9700000000003</v>
      </c>
      <c r="I76" s="307"/>
      <c r="J76" s="300" t="s">
        <v>708</v>
      </c>
      <c r="K76" s="307">
        <v>32920.959999999999</v>
      </c>
      <c r="L76" s="307"/>
      <c r="M76" s="308"/>
      <c r="N76" s="308"/>
    </row>
    <row r="77" spans="1:14">
      <c r="A77" s="300" t="s">
        <v>709</v>
      </c>
      <c r="B77" s="307">
        <v>15079.13</v>
      </c>
      <c r="C77" s="307"/>
      <c r="D77" s="300" t="s">
        <v>710</v>
      </c>
      <c r="E77" s="307">
        <v>21037.62</v>
      </c>
      <c r="F77" s="307"/>
      <c r="G77" s="300" t="s">
        <v>711</v>
      </c>
      <c r="H77" s="307">
        <v>51586.95</v>
      </c>
      <c r="I77" s="307"/>
      <c r="J77" s="300" t="s">
        <v>712</v>
      </c>
      <c r="K77" s="307">
        <v>2237.0300000000002</v>
      </c>
      <c r="L77" s="307"/>
      <c r="M77" s="308"/>
      <c r="N77" s="308"/>
    </row>
    <row r="78" spans="1:14">
      <c r="A78" s="300" t="s">
        <v>713</v>
      </c>
      <c r="B78" s="307">
        <v>3662.59</v>
      </c>
      <c r="C78" s="307"/>
      <c r="D78" s="300" t="s">
        <v>714</v>
      </c>
      <c r="E78" s="307">
        <v>30608.21</v>
      </c>
      <c r="F78" s="307"/>
      <c r="G78" s="300" t="s">
        <v>715</v>
      </c>
      <c r="H78" s="307">
        <v>1290.93</v>
      </c>
      <c r="I78" s="307"/>
      <c r="J78" s="300" t="s">
        <v>716</v>
      </c>
      <c r="K78" s="307">
        <v>3641.55</v>
      </c>
      <c r="L78" s="307"/>
      <c r="M78" s="308"/>
      <c r="N78" s="308"/>
    </row>
    <row r="79" spans="1:14">
      <c r="A79" s="300" t="s">
        <v>717</v>
      </c>
      <c r="B79" s="307">
        <v>91677.38</v>
      </c>
      <c r="C79" s="307"/>
      <c r="D79" s="300" t="s">
        <v>718</v>
      </c>
      <c r="E79" s="307">
        <v>7606.85</v>
      </c>
      <c r="F79" s="307"/>
      <c r="G79" s="299" t="s">
        <v>719</v>
      </c>
      <c r="H79" s="316">
        <v>1551.65</v>
      </c>
      <c r="I79" s="307"/>
      <c r="J79" s="300" t="s">
        <v>720</v>
      </c>
      <c r="K79" s="307">
        <v>51532.31</v>
      </c>
      <c r="L79" s="307"/>
      <c r="M79" s="308"/>
      <c r="N79" s="308"/>
    </row>
    <row r="80" spans="1:14">
      <c r="A80" s="300" t="s">
        <v>721</v>
      </c>
      <c r="B80" s="307">
        <v>47937</v>
      </c>
      <c r="C80" s="307"/>
      <c r="D80" s="300" t="s">
        <v>722</v>
      </c>
      <c r="E80" s="307">
        <v>26411.61</v>
      </c>
      <c r="F80" s="307"/>
      <c r="G80" s="300" t="s">
        <v>723</v>
      </c>
      <c r="H80" s="307">
        <v>46595.59</v>
      </c>
      <c r="I80" s="307"/>
      <c r="J80" s="300" t="s">
        <v>724</v>
      </c>
      <c r="K80" s="307">
        <v>1072939.3</v>
      </c>
      <c r="L80" s="307"/>
      <c r="M80" s="308"/>
      <c r="N80" s="308"/>
    </row>
    <row r="81" spans="1:14">
      <c r="B81" s="307"/>
      <c r="C81" s="307"/>
      <c r="F81" s="307"/>
      <c r="I81" s="307"/>
      <c r="L81" s="307"/>
    </row>
    <row r="82" spans="1:14">
      <c r="A82" s="300" t="s">
        <v>725</v>
      </c>
      <c r="B82" s="307">
        <v>10428.380000000001</v>
      </c>
      <c r="C82" s="307"/>
      <c r="D82" s="300" t="s">
        <v>726</v>
      </c>
      <c r="E82" s="307">
        <v>34779.51</v>
      </c>
      <c r="F82" s="307"/>
      <c r="G82" s="300" t="s">
        <v>727</v>
      </c>
      <c r="H82" s="307">
        <v>98661.9</v>
      </c>
      <c r="I82" s="307"/>
      <c r="J82" s="300" t="s">
        <v>728</v>
      </c>
      <c r="K82" s="307">
        <v>341576.32</v>
      </c>
      <c r="L82" s="307"/>
      <c r="M82" s="308"/>
      <c r="N82" s="308"/>
    </row>
    <row r="83" spans="1:14">
      <c r="A83" s="300" t="s">
        <v>729</v>
      </c>
      <c r="B83" s="307">
        <v>18653.41</v>
      </c>
      <c r="C83" s="307"/>
      <c r="D83" s="300" t="s">
        <v>730</v>
      </c>
      <c r="E83" s="307">
        <v>19902.27</v>
      </c>
      <c r="F83" s="307"/>
      <c r="G83" s="300" t="s">
        <v>731</v>
      </c>
      <c r="H83" s="307">
        <v>4213.42</v>
      </c>
      <c r="I83" s="307"/>
      <c r="J83" s="300" t="s">
        <v>732</v>
      </c>
      <c r="K83" s="307">
        <v>2548.21</v>
      </c>
      <c r="L83" s="307"/>
      <c r="M83" s="308"/>
      <c r="N83" s="308"/>
    </row>
    <row r="84" spans="1:14">
      <c r="A84" s="300" t="s">
        <v>574</v>
      </c>
      <c r="B84" s="307">
        <v>2880.41</v>
      </c>
      <c r="C84" s="307"/>
      <c r="D84" s="300" t="s">
        <v>523</v>
      </c>
      <c r="E84" s="307">
        <v>102778.59</v>
      </c>
      <c r="F84" s="307"/>
      <c r="G84" s="300" t="s">
        <v>610</v>
      </c>
      <c r="H84" s="307">
        <v>177551.91</v>
      </c>
      <c r="I84" s="307"/>
      <c r="J84" s="300" t="s">
        <v>733</v>
      </c>
      <c r="K84" s="307">
        <v>17837.600000000002</v>
      </c>
      <c r="L84" s="307"/>
      <c r="M84" s="308"/>
      <c r="N84" s="308"/>
    </row>
    <row r="85" spans="1:14">
      <c r="A85" s="300" t="s">
        <v>734</v>
      </c>
      <c r="B85" s="307">
        <v>1782.93</v>
      </c>
      <c r="C85" s="307"/>
      <c r="D85" s="300" t="s">
        <v>735</v>
      </c>
      <c r="E85" s="307">
        <v>16542.46</v>
      </c>
      <c r="F85" s="307"/>
      <c r="G85" s="300" t="s">
        <v>736</v>
      </c>
      <c r="H85" s="307">
        <v>2451.4900000000002</v>
      </c>
      <c r="I85" s="307"/>
      <c r="J85" s="300" t="s">
        <v>737</v>
      </c>
      <c r="K85" s="307">
        <v>541372.67000000004</v>
      </c>
      <c r="L85" s="307"/>
      <c r="M85" s="308"/>
      <c r="N85" s="308"/>
    </row>
    <row r="86" spans="1:14">
      <c r="A86" s="300" t="s">
        <v>738</v>
      </c>
      <c r="B86" s="307">
        <v>47377.72</v>
      </c>
      <c r="C86" s="307"/>
      <c r="D86" s="300" t="s">
        <v>739</v>
      </c>
      <c r="E86" s="307">
        <v>126406.5</v>
      </c>
      <c r="F86" s="307"/>
      <c r="G86" s="300" t="s">
        <v>740</v>
      </c>
      <c r="H86" s="307">
        <v>21622.14</v>
      </c>
      <c r="I86" s="307"/>
      <c r="J86" s="300" t="s">
        <v>741</v>
      </c>
      <c r="K86" s="307">
        <v>47335.68</v>
      </c>
      <c r="L86" s="307"/>
      <c r="M86" s="308"/>
      <c r="N86" s="308"/>
    </row>
    <row r="87" spans="1:14">
      <c r="A87" s="300"/>
      <c r="B87" s="307"/>
      <c r="C87" s="307"/>
      <c r="F87" s="307"/>
      <c r="I87" s="307"/>
      <c r="L87" s="307"/>
    </row>
    <row r="88" spans="1:14">
      <c r="A88" s="300" t="s">
        <v>742</v>
      </c>
      <c r="B88" s="307">
        <v>37954.32</v>
      </c>
      <c r="C88" s="307"/>
      <c r="D88" s="300" t="s">
        <v>743</v>
      </c>
      <c r="E88" s="307">
        <v>14898.28</v>
      </c>
      <c r="F88" s="307"/>
      <c r="G88" s="300" t="s">
        <v>744</v>
      </c>
      <c r="H88" s="307">
        <v>24792.7</v>
      </c>
      <c r="I88" s="307"/>
      <c r="J88" s="997" t="s">
        <v>564</v>
      </c>
      <c r="K88" s="998">
        <v>3761.12</v>
      </c>
      <c r="L88" s="307"/>
      <c r="M88" s="308"/>
      <c r="N88" s="308"/>
    </row>
    <row r="89" spans="1:14">
      <c r="A89" s="300" t="s">
        <v>745</v>
      </c>
      <c r="B89" s="307">
        <v>2518.81</v>
      </c>
      <c r="C89" s="307"/>
      <c r="D89" s="300" t="s">
        <v>746</v>
      </c>
      <c r="E89" s="307">
        <v>1731656.69</v>
      </c>
      <c r="F89" s="307"/>
      <c r="G89" s="300" t="s">
        <v>747</v>
      </c>
      <c r="H89" s="307">
        <v>7838.1</v>
      </c>
      <c r="I89" s="307"/>
      <c r="J89" s="300" t="s">
        <v>748</v>
      </c>
      <c r="K89" s="307">
        <v>32105.16</v>
      </c>
      <c r="L89" s="307"/>
      <c r="M89" s="308"/>
      <c r="N89" s="308"/>
    </row>
    <row r="90" spans="1:14">
      <c r="A90" s="300" t="s">
        <v>749</v>
      </c>
      <c r="B90" s="307">
        <v>53121.73</v>
      </c>
      <c r="C90" s="307"/>
      <c r="D90" s="300" t="s">
        <v>750</v>
      </c>
      <c r="E90" s="307">
        <v>18493.57</v>
      </c>
      <c r="F90" s="307"/>
      <c r="G90" s="300" t="s">
        <v>751</v>
      </c>
      <c r="H90" s="307">
        <v>47314.66</v>
      </c>
      <c r="I90" s="307"/>
      <c r="J90" s="300" t="s">
        <v>752</v>
      </c>
      <c r="K90" s="307">
        <v>22837.35</v>
      </c>
      <c r="L90" s="307"/>
      <c r="M90" s="308"/>
      <c r="N90" s="308"/>
    </row>
    <row r="91" spans="1:14">
      <c r="A91" s="997" t="s">
        <v>753</v>
      </c>
      <c r="B91" s="998">
        <v>74760.67</v>
      </c>
      <c r="C91" s="307"/>
      <c r="D91" s="300" t="s">
        <v>754</v>
      </c>
      <c r="E91" s="307">
        <v>15596.36</v>
      </c>
      <c r="F91" s="307"/>
      <c r="G91" s="300" t="s">
        <v>755</v>
      </c>
      <c r="H91" s="307">
        <v>1396.07</v>
      </c>
      <c r="I91" s="307"/>
      <c r="J91" s="300" t="s">
        <v>756</v>
      </c>
      <c r="K91" s="307">
        <v>86913.16</v>
      </c>
      <c r="L91" s="307"/>
      <c r="M91" s="308"/>
      <c r="N91" s="308"/>
    </row>
    <row r="92" spans="1:14">
      <c r="A92" s="300" t="s">
        <v>757</v>
      </c>
      <c r="B92" s="307">
        <v>42878.400000000001</v>
      </c>
      <c r="C92" s="307"/>
      <c r="D92" s="300" t="s">
        <v>758</v>
      </c>
      <c r="E92" s="307">
        <v>23892.78</v>
      </c>
      <c r="F92" s="307"/>
      <c r="G92" s="300" t="s">
        <v>759</v>
      </c>
      <c r="H92" s="307">
        <v>18123.580000000002</v>
      </c>
      <c r="I92" s="307"/>
      <c r="J92" s="300" t="s">
        <v>760</v>
      </c>
      <c r="K92" s="307">
        <v>3321.95</v>
      </c>
      <c r="L92" s="307"/>
      <c r="M92" s="308"/>
      <c r="N92" s="308"/>
    </row>
    <row r="93" spans="1:14">
      <c r="A93" s="300"/>
      <c r="B93" s="307"/>
      <c r="C93" s="307"/>
      <c r="F93" s="307"/>
      <c r="I93" s="307"/>
      <c r="L93" s="307"/>
    </row>
    <row r="94" spans="1:14" ht="12.75" customHeight="1">
      <c r="A94" s="300" t="s">
        <v>761</v>
      </c>
      <c r="B94" s="307">
        <v>170987.92</v>
      </c>
      <c r="C94" s="307"/>
      <c r="D94" s="300" t="s">
        <v>762</v>
      </c>
      <c r="E94" s="307">
        <v>34510.44</v>
      </c>
      <c r="F94" s="307"/>
      <c r="G94" s="997" t="s">
        <v>763</v>
      </c>
      <c r="H94" s="998">
        <v>8187.02</v>
      </c>
      <c r="I94" s="307"/>
      <c r="J94" s="300" t="s">
        <v>764</v>
      </c>
      <c r="K94" s="307">
        <v>67086.55</v>
      </c>
      <c r="L94" s="307"/>
      <c r="M94" s="308"/>
      <c r="N94" s="308"/>
    </row>
    <row r="95" spans="1:14">
      <c r="A95" s="300" t="s">
        <v>765</v>
      </c>
      <c r="B95" s="307">
        <v>891409.45</v>
      </c>
      <c r="C95" s="307"/>
      <c r="D95" s="300" t="s">
        <v>766</v>
      </c>
      <c r="E95" s="307">
        <v>16159.85</v>
      </c>
      <c r="F95" s="307"/>
      <c r="G95" s="300" t="s">
        <v>767</v>
      </c>
      <c r="H95" s="307">
        <v>32988.25</v>
      </c>
      <c r="I95" s="307"/>
      <c r="J95" s="300" t="s">
        <v>572</v>
      </c>
      <c r="K95" s="307">
        <v>108287.15</v>
      </c>
      <c r="L95" s="307"/>
      <c r="M95" s="308"/>
      <c r="N95" s="308"/>
    </row>
    <row r="96" spans="1:14">
      <c r="A96" s="300" t="s">
        <v>768</v>
      </c>
      <c r="B96" s="307">
        <v>35309.39</v>
      </c>
      <c r="C96" s="307"/>
      <c r="D96" s="300" t="s">
        <v>769</v>
      </c>
      <c r="E96" s="307">
        <v>2489.38</v>
      </c>
      <c r="F96" s="307"/>
      <c r="G96" s="300" t="s">
        <v>632</v>
      </c>
      <c r="H96" s="307">
        <v>456162.57</v>
      </c>
      <c r="I96" s="307"/>
      <c r="J96" s="300" t="s">
        <v>770</v>
      </c>
      <c r="K96" s="307">
        <v>94490.53</v>
      </c>
      <c r="L96" s="307"/>
      <c r="M96" s="308"/>
      <c r="N96" s="308"/>
    </row>
    <row r="97" spans="1:14">
      <c r="A97" s="300" t="s">
        <v>771</v>
      </c>
      <c r="B97" s="307">
        <v>1690.41</v>
      </c>
      <c r="C97" s="307"/>
      <c r="D97" s="300" t="s">
        <v>772</v>
      </c>
      <c r="E97" s="307">
        <v>1871.21</v>
      </c>
      <c r="F97" s="307"/>
      <c r="G97" s="300" t="s">
        <v>773</v>
      </c>
      <c r="H97" s="307">
        <v>161850.41</v>
      </c>
      <c r="I97" s="307"/>
      <c r="J97" s="300" t="s">
        <v>770</v>
      </c>
      <c r="K97" s="307">
        <v>429048.72</v>
      </c>
      <c r="L97" s="307"/>
      <c r="M97" s="308"/>
      <c r="N97" s="308"/>
    </row>
    <row r="98" spans="1:14">
      <c r="A98" s="300" t="s">
        <v>774</v>
      </c>
      <c r="B98" s="307">
        <v>5870.19</v>
      </c>
      <c r="C98" s="307"/>
      <c r="D98" s="300" t="s">
        <v>775</v>
      </c>
      <c r="E98" s="307">
        <v>4650.71</v>
      </c>
      <c r="F98" s="307"/>
      <c r="G98" s="300" t="s">
        <v>776</v>
      </c>
      <c r="H98" s="307">
        <v>28493.07</v>
      </c>
      <c r="I98" s="307"/>
      <c r="L98" s="307"/>
      <c r="M98" s="308"/>
      <c r="N98" s="308"/>
    </row>
    <row r="99" spans="1:14">
      <c r="A99" s="300"/>
      <c r="B99" s="307"/>
      <c r="C99" s="307"/>
      <c r="F99" s="307"/>
      <c r="G99" s="300"/>
      <c r="H99" s="307"/>
      <c r="I99" s="307"/>
    </row>
    <row r="100" spans="1:14">
      <c r="A100" s="300" t="s">
        <v>777</v>
      </c>
      <c r="B100" s="307">
        <v>94435.89</v>
      </c>
      <c r="C100" s="307"/>
      <c r="D100" s="300" t="s">
        <v>778</v>
      </c>
      <c r="E100" s="307">
        <v>20162.95</v>
      </c>
      <c r="F100" s="307"/>
      <c r="G100" s="300" t="s">
        <v>779</v>
      </c>
      <c r="H100" s="307">
        <v>18998.21</v>
      </c>
      <c r="I100" s="307"/>
      <c r="J100" s="309" t="s">
        <v>780</v>
      </c>
      <c r="K100" s="310">
        <f>SUM(B58:B105,E58:E105,H58:H105,K58:K97)</f>
        <v>16668947.250000002</v>
      </c>
      <c r="M100" s="308"/>
      <c r="N100" s="308"/>
    </row>
    <row r="101" spans="1:14">
      <c r="A101" s="300" t="s">
        <v>781</v>
      </c>
      <c r="B101" s="307">
        <v>73364.63</v>
      </c>
      <c r="C101" s="307"/>
      <c r="D101" s="300" t="s">
        <v>782</v>
      </c>
      <c r="E101" s="307">
        <v>31613.200000000001</v>
      </c>
      <c r="F101" s="307"/>
      <c r="G101" s="300" t="s">
        <v>783</v>
      </c>
      <c r="H101" s="307">
        <v>7871.74</v>
      </c>
      <c r="I101" s="307"/>
      <c r="J101" s="309" t="s">
        <v>34</v>
      </c>
      <c r="K101" s="310">
        <f>SUM(B6:B52,E6:E52,H6:H22)</f>
        <v>237243991.75</v>
      </c>
      <c r="M101" s="308"/>
      <c r="N101" s="308"/>
    </row>
    <row r="102" spans="1:14">
      <c r="A102" s="300" t="s">
        <v>784</v>
      </c>
      <c r="B102" s="307">
        <v>46385.32</v>
      </c>
      <c r="C102" s="307"/>
      <c r="D102" s="300" t="s">
        <v>785</v>
      </c>
      <c r="E102" s="307">
        <v>2380.04</v>
      </c>
      <c r="F102" s="307"/>
      <c r="G102" s="300" t="s">
        <v>786</v>
      </c>
      <c r="H102" s="307">
        <v>19406.100000000002</v>
      </c>
      <c r="I102" s="307"/>
      <c r="J102" s="309" t="s">
        <v>39</v>
      </c>
      <c r="K102" s="310">
        <f>SUM(H30:H52,K6:K27)</f>
        <v>166597681.55000001</v>
      </c>
      <c r="M102" s="308"/>
      <c r="N102" s="308"/>
    </row>
    <row r="103" spans="1:14">
      <c r="A103" s="300" t="s">
        <v>787</v>
      </c>
      <c r="B103" s="307">
        <v>204089.66</v>
      </c>
      <c r="C103" s="307"/>
      <c r="D103" s="300" t="s">
        <v>788</v>
      </c>
      <c r="E103" s="307">
        <v>76573.040000000008</v>
      </c>
      <c r="F103" s="307"/>
      <c r="G103" s="300" t="s">
        <v>789</v>
      </c>
      <c r="H103" s="307">
        <v>196604.76</v>
      </c>
      <c r="I103" s="307"/>
      <c r="K103" s="316"/>
      <c r="M103" s="317"/>
      <c r="N103" s="308"/>
    </row>
    <row r="104" spans="1:14">
      <c r="A104" s="300" t="s">
        <v>790</v>
      </c>
      <c r="B104" s="307">
        <v>5975.3</v>
      </c>
      <c r="C104" s="307"/>
      <c r="D104" s="300" t="s">
        <v>791</v>
      </c>
      <c r="E104" s="307">
        <v>12282.79</v>
      </c>
      <c r="F104" s="307"/>
      <c r="G104" s="300" t="s">
        <v>792</v>
      </c>
      <c r="H104" s="307">
        <v>14040.49</v>
      </c>
      <c r="I104" s="307"/>
      <c r="J104" s="309" t="s">
        <v>40</v>
      </c>
      <c r="K104" s="310">
        <f>SUM(K100:K102)</f>
        <v>420510620.55000001</v>
      </c>
      <c r="M104" s="308"/>
      <c r="N104" s="308"/>
    </row>
    <row r="105" spans="1:14">
      <c r="A105" s="300" t="s">
        <v>793</v>
      </c>
      <c r="B105" s="845">
        <v>42613.47</v>
      </c>
      <c r="C105" s="307"/>
      <c r="D105" s="300" t="s">
        <v>794</v>
      </c>
      <c r="E105" s="307">
        <v>52032.69</v>
      </c>
      <c r="G105" s="300" t="s">
        <v>795</v>
      </c>
      <c r="H105" s="307">
        <v>40103.090000000004</v>
      </c>
      <c r="I105" s="307"/>
      <c r="M105" s="308"/>
      <c r="N105" s="308"/>
    </row>
    <row r="106" spans="1:14">
      <c r="A106" s="300"/>
      <c r="B106" s="307"/>
      <c r="C106" s="307"/>
      <c r="D106" s="300"/>
      <c r="E106" s="307"/>
      <c r="F106" s="307"/>
      <c r="G106" s="300"/>
      <c r="H106" s="307"/>
      <c r="I106" s="307"/>
      <c r="M106" s="308"/>
      <c r="N106" s="308"/>
    </row>
    <row r="107" spans="1:14">
      <c r="A107" s="300" t="s">
        <v>2</v>
      </c>
      <c r="B107" s="307"/>
      <c r="C107" s="307"/>
      <c r="D107" s="300"/>
      <c r="E107" s="307"/>
      <c r="F107" s="307"/>
      <c r="G107" s="300"/>
      <c r="H107" s="307"/>
      <c r="I107" s="307"/>
      <c r="M107" s="308"/>
      <c r="N107" s="308"/>
    </row>
    <row r="108" spans="1:14" ht="59.25" customHeight="1">
      <c r="A108" s="1077" t="s">
        <v>796</v>
      </c>
      <c r="B108" s="1077"/>
      <c r="C108" s="1077"/>
      <c r="D108" s="1077"/>
      <c r="E108" s="1077"/>
      <c r="F108" s="1077"/>
      <c r="G108" s="1077"/>
      <c r="H108" s="307"/>
      <c r="I108" s="307"/>
      <c r="M108" s="308"/>
      <c r="N108" s="308"/>
    </row>
    <row r="109" spans="1:14">
      <c r="A109" s="852" t="s">
        <v>1071</v>
      </c>
      <c r="C109" s="300"/>
      <c r="F109" s="299"/>
      <c r="M109" s="318"/>
    </row>
    <row r="110" spans="1:14" ht="26.65" customHeight="1">
      <c r="A110" s="1078" t="s">
        <v>1114</v>
      </c>
      <c r="B110" s="1078"/>
      <c r="C110" s="1078"/>
      <c r="D110" s="1078"/>
      <c r="E110" s="1078"/>
      <c r="F110" s="1078"/>
      <c r="G110" s="1078"/>
      <c r="H110" s="307"/>
      <c r="M110" s="318"/>
    </row>
    <row r="112" spans="1:14">
      <c r="A112" s="300"/>
      <c r="B112" s="307"/>
      <c r="C112" s="300"/>
      <c r="D112" s="300"/>
      <c r="E112" s="307"/>
      <c r="G112" s="300"/>
      <c r="H112" s="307"/>
      <c r="M112" s="318"/>
    </row>
    <row r="113" spans="1:13">
      <c r="A113" s="300"/>
      <c r="B113" s="307"/>
      <c r="C113" s="300"/>
      <c r="D113" s="300"/>
      <c r="E113" s="307"/>
      <c r="G113" s="300"/>
      <c r="H113" s="307"/>
      <c r="M113" s="318"/>
    </row>
    <row r="114" spans="1:13">
      <c r="A114" s="300"/>
      <c r="B114" s="307"/>
      <c r="C114" s="300"/>
      <c r="D114" s="300"/>
      <c r="E114" s="307"/>
      <c r="G114" s="300"/>
      <c r="H114" s="307"/>
      <c r="M114" s="318"/>
    </row>
  </sheetData>
  <mergeCells count="2">
    <mergeCell ref="A108:G108"/>
    <mergeCell ref="A110:G110"/>
  </mergeCells>
  <printOptions horizontalCentered="1"/>
  <pageMargins left="0.5" right="0.5" top="0.5" bottom="0.25" header="0.5" footer="0.5"/>
  <pageSetup scale="63" orientation="landscape" r:id="rId1"/>
  <headerFooter alignWithMargins="0"/>
  <rowBreaks count="1" manualBreakCount="1">
    <brk id="52" max="16383" man="1"/>
  </rowBreaks>
  <ignoredErrors>
    <ignoredError sqref="K102" formulaRange="1"/>
  </ignoredErrors>
</worksheet>
</file>

<file path=xl/worksheets/sheet26.xml><?xml version="1.0" encoding="utf-8"?>
<worksheet xmlns="http://schemas.openxmlformats.org/spreadsheetml/2006/main" xmlns:r="http://schemas.openxmlformats.org/officeDocument/2006/relationships">
  <sheetPr codeName="Sheet27"/>
  <dimension ref="B1:O35"/>
  <sheetViews>
    <sheetView zoomScaleNormal="100" workbookViewId="0">
      <selection activeCell="C19" sqref="C19"/>
    </sheetView>
  </sheetViews>
  <sheetFormatPr defaultColWidth="8.7109375" defaultRowHeight="12.75"/>
  <cols>
    <col min="1" max="1" width="1.42578125" style="676" customWidth="1"/>
    <col min="2" max="2" width="9.85546875" style="676" customWidth="1"/>
    <col min="3" max="8" width="17.28515625" style="676" customWidth="1"/>
    <col min="9" max="16384" width="8.7109375" style="676"/>
  </cols>
  <sheetData>
    <row r="1" spans="2:15">
      <c r="B1" s="675" t="s">
        <v>981</v>
      </c>
    </row>
    <row r="2" spans="2:15" ht="13.5" thickBot="1">
      <c r="B2" s="1079" t="s">
        <v>982</v>
      </c>
      <c r="C2" s="1079"/>
      <c r="D2" s="1079"/>
      <c r="E2" s="1079"/>
      <c r="F2" s="1079"/>
      <c r="G2" s="1079"/>
      <c r="H2" s="1079"/>
    </row>
    <row r="3" spans="2:15" s="678" customFormat="1" ht="14.25" customHeight="1">
      <c r="B3" s="677" t="s">
        <v>31</v>
      </c>
      <c r="C3" s="677" t="s">
        <v>957</v>
      </c>
      <c r="D3" s="677" t="s">
        <v>983</v>
      </c>
      <c r="E3" s="677" t="s">
        <v>984</v>
      </c>
      <c r="F3" s="677" t="s">
        <v>985</v>
      </c>
      <c r="G3" s="677" t="s">
        <v>986</v>
      </c>
      <c r="H3" s="677" t="s">
        <v>25</v>
      </c>
    </row>
    <row r="4" spans="2:15" s="678" customFormat="1">
      <c r="B4" s="679" t="s">
        <v>987</v>
      </c>
      <c r="C4" s="679" t="s">
        <v>50</v>
      </c>
      <c r="D4" s="679" t="s">
        <v>988</v>
      </c>
      <c r="E4" s="679" t="s">
        <v>989</v>
      </c>
      <c r="F4" s="679" t="s">
        <v>990</v>
      </c>
      <c r="G4" s="679" t="s">
        <v>991</v>
      </c>
      <c r="H4" s="679" t="s">
        <v>992</v>
      </c>
    </row>
    <row r="6" spans="2:15">
      <c r="C6" s="680"/>
      <c r="D6" s="680"/>
      <c r="E6" s="680"/>
      <c r="F6" s="680"/>
      <c r="G6" s="680"/>
      <c r="H6" s="680"/>
    </row>
    <row r="7" spans="2:15">
      <c r="B7" s="675" t="s">
        <v>993</v>
      </c>
    </row>
    <row r="8" spans="2:15">
      <c r="B8" s="681">
        <v>2007</v>
      </c>
      <c r="C8" s="682">
        <v>982816278651</v>
      </c>
      <c r="D8" s="682">
        <v>70911848398.669998</v>
      </c>
      <c r="E8" s="682">
        <v>11047359200.7223</v>
      </c>
      <c r="F8" s="682">
        <v>1134751294</v>
      </c>
      <c r="G8" s="682">
        <v>29126367531.309998</v>
      </c>
      <c r="H8" s="682">
        <f>SUM(C8:G8)</f>
        <v>1095036605075.7024</v>
      </c>
      <c r="I8" s="683"/>
      <c r="J8" s="683"/>
      <c r="K8" s="683"/>
      <c r="L8" s="683"/>
      <c r="M8" s="683"/>
      <c r="N8" s="683"/>
      <c r="O8" s="683"/>
    </row>
    <row r="9" spans="2:15" s="686" customFormat="1">
      <c r="B9" s="681">
        <v>2008</v>
      </c>
      <c r="C9" s="685">
        <v>1023386154546</v>
      </c>
      <c r="D9" s="685">
        <v>71298689436.800003</v>
      </c>
      <c r="E9" s="685">
        <v>10937223808.700001</v>
      </c>
      <c r="F9" s="685">
        <v>1230553542</v>
      </c>
      <c r="G9" s="685">
        <v>31749628732</v>
      </c>
      <c r="H9" s="684">
        <f>SUM(C9:G9)</f>
        <v>1138602250065.5</v>
      </c>
      <c r="I9" s="683"/>
      <c r="J9" s="683"/>
      <c r="K9" s="683"/>
      <c r="L9" s="683"/>
      <c r="M9" s="683"/>
      <c r="N9" s="683"/>
      <c r="O9" s="683"/>
    </row>
    <row r="10" spans="2:15" s="686" customFormat="1">
      <c r="B10" s="681">
        <v>2009</v>
      </c>
      <c r="C10" s="684">
        <v>988853670404</v>
      </c>
      <c r="D10" s="684">
        <v>68225665096.830002</v>
      </c>
      <c r="E10" s="684">
        <v>12292139802.84</v>
      </c>
      <c r="F10" s="684">
        <v>1214257081</v>
      </c>
      <c r="G10" s="684">
        <v>35243592652.010002</v>
      </c>
      <c r="H10" s="684">
        <f>SUM(C10:G10)</f>
        <v>1105829325036.6799</v>
      </c>
      <c r="I10" s="683"/>
      <c r="J10" s="683"/>
      <c r="K10" s="683"/>
      <c r="L10" s="683"/>
      <c r="M10" s="683"/>
      <c r="N10" s="683"/>
      <c r="O10" s="683"/>
    </row>
    <row r="11" spans="2:15" s="686" customFormat="1">
      <c r="B11" s="681">
        <v>2010</v>
      </c>
      <c r="C11" s="684">
        <v>940691278363</v>
      </c>
      <c r="D11" s="684">
        <v>70049322677</v>
      </c>
      <c r="E11" s="684">
        <v>10516518303.09729</v>
      </c>
      <c r="F11" s="684">
        <v>1171770724</v>
      </c>
      <c r="G11" s="684">
        <v>37137075381.304169</v>
      </c>
      <c r="H11" s="684">
        <f>SUM(C11:G11)</f>
        <v>1059565965448.4015</v>
      </c>
      <c r="I11" s="683"/>
      <c r="J11" s="683"/>
      <c r="K11" s="683"/>
      <c r="L11" s="683"/>
      <c r="M11" s="683"/>
      <c r="N11" s="683"/>
      <c r="O11" s="683"/>
    </row>
    <row r="12" spans="2:15" s="686" customFormat="1">
      <c r="B12" s="687">
        <v>2011</v>
      </c>
      <c r="C12" s="688">
        <f>'Table 6.2'!F197</f>
        <v>949019441456</v>
      </c>
      <c r="D12" s="688">
        <f>'Table 6.4'!B202</f>
        <v>71600491420.522705</v>
      </c>
      <c r="E12" s="688">
        <f>'Table 6.4'!F202</f>
        <v>9566162074.7299995</v>
      </c>
      <c r="F12" s="688">
        <f>'Table 6.4'!J202</f>
        <v>1085887806</v>
      </c>
      <c r="G12" s="688">
        <f>'Table 6.4'!N202</f>
        <v>38455832383.529999</v>
      </c>
      <c r="H12" s="688">
        <f>SUM(C12:G12)</f>
        <v>1069727815140.7827</v>
      </c>
      <c r="I12" s="683"/>
    </row>
    <row r="13" spans="2:15">
      <c r="C13" s="680"/>
      <c r="D13" s="680"/>
      <c r="E13" s="680"/>
      <c r="F13" s="680"/>
      <c r="G13" s="680"/>
      <c r="H13" s="680"/>
    </row>
    <row r="14" spans="2:15">
      <c r="B14" s="811" t="s">
        <v>994</v>
      </c>
    </row>
    <row r="15" spans="2:15">
      <c r="B15" s="681">
        <v>2007</v>
      </c>
      <c r="C15" s="682">
        <v>8135438952.877491</v>
      </c>
      <c r="D15" s="682">
        <v>2452227738.4033508</v>
      </c>
      <c r="E15" s="682">
        <v>209635448.0226</v>
      </c>
      <c r="F15" s="682">
        <v>12487509.919999996</v>
      </c>
      <c r="G15" s="682">
        <v>223563319.10092998</v>
      </c>
      <c r="H15" s="682">
        <f>SUM(C15:G15)</f>
        <v>11033352968.324371</v>
      </c>
      <c r="I15" s="683"/>
      <c r="J15" s="683"/>
      <c r="K15" s="683"/>
      <c r="L15" s="683"/>
      <c r="M15" s="683"/>
      <c r="N15" s="683"/>
    </row>
    <row r="16" spans="2:15" s="686" customFormat="1">
      <c r="B16" s="681">
        <v>2008</v>
      </c>
      <c r="C16" s="684">
        <v>8781051378.9086037</v>
      </c>
      <c r="D16" s="684">
        <v>2484453123.6851497</v>
      </c>
      <c r="E16" s="684">
        <v>202986629.26800001</v>
      </c>
      <c r="F16" s="684">
        <v>12297013.2322</v>
      </c>
      <c r="G16" s="684">
        <v>242598481.04204994</v>
      </c>
      <c r="H16" s="684">
        <f>SUM(C16:G16)</f>
        <v>11723386626.136003</v>
      </c>
      <c r="I16" s="683"/>
      <c r="J16" s="683"/>
      <c r="K16" s="683"/>
      <c r="L16" s="683"/>
      <c r="M16" s="683"/>
      <c r="N16" s="683"/>
    </row>
    <row r="17" spans="2:14" s="686" customFormat="1">
      <c r="B17" s="681">
        <v>2009</v>
      </c>
      <c r="C17" s="684">
        <v>8871606716.8364296</v>
      </c>
      <c r="D17" s="684">
        <v>2400518627.0489197</v>
      </c>
      <c r="E17" s="684">
        <v>218253943.89255002</v>
      </c>
      <c r="F17" s="684">
        <v>12177007.870000001</v>
      </c>
      <c r="G17" s="684">
        <v>281165880.07225001</v>
      </c>
      <c r="H17" s="684">
        <v>11783722175.72015</v>
      </c>
      <c r="I17" s="683"/>
      <c r="J17" s="683"/>
      <c r="K17" s="683"/>
      <c r="L17" s="683"/>
      <c r="M17" s="683"/>
      <c r="N17" s="683"/>
    </row>
    <row r="18" spans="2:14" s="686" customFormat="1">
      <c r="B18" s="681">
        <v>2010</v>
      </c>
      <c r="C18" s="684">
        <v>8705130276</v>
      </c>
      <c r="D18" s="684">
        <v>2478543093</v>
      </c>
      <c r="E18" s="684">
        <v>211819048</v>
      </c>
      <c r="F18" s="684">
        <v>11535244</v>
      </c>
      <c r="G18" s="684">
        <v>299030541</v>
      </c>
      <c r="H18" s="684">
        <v>11783722175.72015</v>
      </c>
      <c r="I18" s="683"/>
      <c r="J18" s="683"/>
      <c r="K18" s="683"/>
      <c r="L18" s="683"/>
      <c r="M18" s="683"/>
      <c r="N18" s="683"/>
    </row>
    <row r="19" spans="2:14" s="686" customFormat="1">
      <c r="B19" s="687">
        <v>2011</v>
      </c>
      <c r="C19" s="688">
        <f>'Table 6.2'!G197</f>
        <v>8790447899.3013458</v>
      </c>
      <c r="D19" s="688">
        <f>'Table 6.4'!D202</f>
        <v>2558502670.7351794</v>
      </c>
      <c r="E19" s="688">
        <f>'Table 6.4'!H202</f>
        <v>202650255.29854995</v>
      </c>
      <c r="F19" s="688">
        <f>'Table 6.4'!L202</f>
        <v>11490972.130000001</v>
      </c>
      <c r="G19" s="688">
        <f>'Table 6.4'!P202</f>
        <v>312876439.71959007</v>
      </c>
      <c r="H19" s="688">
        <f>SUM(C19:G19)</f>
        <v>11875968237.184664</v>
      </c>
    </row>
    <row r="21" spans="2:14">
      <c r="B21" s="675" t="s">
        <v>995</v>
      </c>
    </row>
    <row r="22" spans="2:14">
      <c r="B22" s="681">
        <v>2007</v>
      </c>
      <c r="C22" s="999">
        <f t="shared" ref="C22:H26" si="0">C15/C8*100</f>
        <v>0.82776803046486791</v>
      </c>
      <c r="D22" s="999">
        <f t="shared" si="0"/>
        <v>3.4581354086510379</v>
      </c>
      <c r="E22" s="999">
        <f t="shared" si="0"/>
        <v>1.8976068779305517</v>
      </c>
      <c r="F22" s="999">
        <f t="shared" si="0"/>
        <v>1.1004622762739054</v>
      </c>
      <c r="G22" s="999">
        <f t="shared" si="0"/>
        <v>0.76756333882213734</v>
      </c>
      <c r="H22" s="999">
        <f t="shared" si="0"/>
        <v>1.0075784605905125</v>
      </c>
      <c r="I22" s="683"/>
      <c r="J22" s="683"/>
      <c r="K22" s="683"/>
      <c r="L22" s="683"/>
      <c r="M22" s="683"/>
      <c r="N22" s="683"/>
    </row>
    <row r="23" spans="2:14">
      <c r="B23" s="681">
        <v>2008</v>
      </c>
      <c r="C23" s="689">
        <f t="shared" si="0"/>
        <v>0.85803890739601618</v>
      </c>
      <c r="D23" s="689">
        <f t="shared" si="0"/>
        <v>3.4845705346202722</v>
      </c>
      <c r="E23" s="689">
        <f t="shared" si="0"/>
        <v>1.8559246187001728</v>
      </c>
      <c r="F23" s="689">
        <f t="shared" si="0"/>
        <v>0.99930745087400685</v>
      </c>
      <c r="G23" s="689">
        <f t="shared" si="0"/>
        <v>0.76409863904184305</v>
      </c>
      <c r="H23" s="689">
        <f t="shared" si="0"/>
        <v>1.0296296731770551</v>
      </c>
      <c r="I23" s="683"/>
      <c r="J23" s="683"/>
      <c r="K23" s="683"/>
      <c r="L23" s="683"/>
      <c r="M23" s="683"/>
      <c r="N23" s="683"/>
    </row>
    <row r="24" spans="2:14">
      <c r="B24" s="681">
        <v>2009</v>
      </c>
      <c r="C24" s="689">
        <f t="shared" si="0"/>
        <v>0.89716072077801967</v>
      </c>
      <c r="D24" s="689">
        <f t="shared" si="0"/>
        <v>3.5184979488905794</v>
      </c>
      <c r="E24" s="689">
        <f t="shared" si="0"/>
        <v>1.775556960734568</v>
      </c>
      <c r="F24" s="689">
        <f t="shared" si="0"/>
        <v>1.0028360600517678</v>
      </c>
      <c r="G24" s="689">
        <f t="shared" si="0"/>
        <v>0.79777871356203711</v>
      </c>
      <c r="H24" s="689">
        <f t="shared" si="0"/>
        <v>1.0656004420328868</v>
      </c>
      <c r="I24" s="683"/>
      <c r="J24" s="683"/>
      <c r="K24" s="683"/>
      <c r="L24" s="683"/>
      <c r="M24" s="683"/>
      <c r="N24" s="683"/>
    </row>
    <row r="25" spans="2:14">
      <c r="B25" s="681">
        <v>2010</v>
      </c>
      <c r="C25" s="689">
        <f t="shared" si="0"/>
        <v>0.92539714954610308</v>
      </c>
      <c r="D25" s="689">
        <f t="shared" si="0"/>
        <v>3.5382827389047757</v>
      </c>
      <c r="E25" s="689">
        <f t="shared" si="0"/>
        <v>2.0141556539450489</v>
      </c>
      <c r="F25" s="689">
        <f t="shared" si="0"/>
        <v>0.9844284179265772</v>
      </c>
      <c r="G25" s="689">
        <f t="shared" si="0"/>
        <v>0.80520756664252624</v>
      </c>
      <c r="H25" s="689">
        <f t="shared" si="0"/>
        <v>1.1121272823002912</v>
      </c>
      <c r="I25" s="683"/>
      <c r="J25" s="683"/>
      <c r="K25" s="683"/>
      <c r="L25" s="683"/>
      <c r="M25" s="683"/>
      <c r="N25" s="683"/>
    </row>
    <row r="26" spans="2:14">
      <c r="B26" s="687">
        <v>2011</v>
      </c>
      <c r="C26" s="690">
        <f t="shared" si="0"/>
        <v>0.9262663666631431</v>
      </c>
      <c r="D26" s="690">
        <f t="shared" si="0"/>
        <v>3.57330322736003</v>
      </c>
      <c r="E26" s="690">
        <f t="shared" si="0"/>
        <v>2.1184070865145745</v>
      </c>
      <c r="F26" s="690">
        <f t="shared" si="0"/>
        <v>1.0582098874770862</v>
      </c>
      <c r="G26" s="690">
        <f t="shared" si="0"/>
        <v>0.81359944728069367</v>
      </c>
      <c r="H26" s="690">
        <f t="shared" si="0"/>
        <v>1.1101859808723131</v>
      </c>
    </row>
    <row r="27" spans="2:14" s="686" customFormat="1"/>
    <row r="28" spans="2:14">
      <c r="B28" s="680" t="s">
        <v>27</v>
      </c>
    </row>
    <row r="29" spans="2:14">
      <c r="B29" s="1080" t="s">
        <v>996</v>
      </c>
      <c r="C29" s="1081"/>
      <c r="D29" s="1081"/>
      <c r="E29" s="1081"/>
      <c r="F29" s="1081"/>
      <c r="G29" s="1081"/>
      <c r="H29" s="1081"/>
    </row>
    <row r="33" spans="2:2">
      <c r="B33" s="680"/>
    </row>
    <row r="34" spans="2:2">
      <c r="B34" s="680"/>
    </row>
    <row r="35" spans="2:2">
      <c r="B35" s="680"/>
    </row>
  </sheetData>
  <mergeCells count="2">
    <mergeCell ref="B2:H2"/>
    <mergeCell ref="B29:H29"/>
  </mergeCells>
  <printOptions horizontalCentered="1"/>
  <pageMargins left="0.25" right="0.25" top="0.7" bottom="0.75" header="0.25" footer="0.4"/>
  <pageSetup orientation="landscape" r:id="rId1"/>
  <headerFooter alignWithMargins="0"/>
  <rowBreaks count="1" manualBreakCount="1">
    <brk id="30" max="16383" man="1"/>
  </rowBreaks>
  <ignoredErrors>
    <ignoredError sqref="H15:H16 H8:H11" formulaRange="1"/>
  </ignoredErrors>
</worksheet>
</file>

<file path=xl/worksheets/sheet27.xml><?xml version="1.0" encoding="utf-8"?>
<worksheet xmlns="http://schemas.openxmlformats.org/spreadsheetml/2006/main" xmlns:r="http://schemas.openxmlformats.org/officeDocument/2006/relationships">
  <sheetPr codeName="Sheet28"/>
  <dimension ref="A1:CT214"/>
  <sheetViews>
    <sheetView topLeftCell="A163" zoomScaleNormal="100" workbookViewId="0">
      <selection activeCell="H175" sqref="H175"/>
    </sheetView>
  </sheetViews>
  <sheetFormatPr defaultColWidth="13.7109375" defaultRowHeight="12"/>
  <cols>
    <col min="1" max="1" width="14.42578125" style="556" customWidth="1"/>
    <col min="2" max="2" width="15.28515625" style="556" customWidth="1"/>
    <col min="3" max="3" width="15.7109375" style="556" customWidth="1"/>
    <col min="4" max="4" width="15.28515625" style="556" customWidth="1"/>
    <col min="5" max="6" width="16.85546875" style="556" customWidth="1"/>
    <col min="7" max="7" width="13.28515625" style="556" customWidth="1"/>
    <col min="8" max="8" width="14.42578125" style="557" customWidth="1"/>
    <col min="9" max="11" width="8.28515625" style="556" customWidth="1"/>
    <col min="12" max="98" width="13.7109375" style="558" customWidth="1"/>
    <col min="99" max="16384" width="13.7109375" style="556"/>
  </cols>
  <sheetData>
    <row r="1" spans="1:98" ht="15">
      <c r="A1" s="555" t="s">
        <v>933</v>
      </c>
      <c r="M1" s="559"/>
    </row>
    <row r="2" spans="1:98" ht="12.75">
      <c r="A2" s="1082" t="s">
        <v>1068</v>
      </c>
      <c r="B2" s="1083"/>
      <c r="C2" s="1083"/>
      <c r="D2" s="1083"/>
      <c r="E2" s="1083"/>
      <c r="F2" s="1083"/>
      <c r="G2" s="1083"/>
      <c r="H2" s="1083"/>
      <c r="M2" s="1084"/>
      <c r="N2" s="1084"/>
      <c r="O2" s="1084"/>
      <c r="P2" s="1084"/>
      <c r="Q2" s="1084"/>
      <c r="R2" s="1084"/>
      <c r="S2" s="1084"/>
      <c r="T2" s="1084"/>
      <c r="V2" s="559"/>
    </row>
    <row r="3" spans="1:98" ht="12.75" thickBot="1">
      <c r="A3" s="562"/>
      <c r="B3" s="562"/>
      <c r="C3" s="562"/>
      <c r="D3" s="562"/>
      <c r="E3" s="562"/>
      <c r="F3" s="562"/>
      <c r="G3" s="562"/>
      <c r="H3" s="562"/>
      <c r="M3" s="561"/>
      <c r="N3" s="561"/>
      <c r="O3" s="561"/>
      <c r="P3" s="561"/>
      <c r="Q3" s="561"/>
      <c r="R3" s="561"/>
      <c r="S3" s="561"/>
      <c r="T3" s="561"/>
      <c r="V3" s="559"/>
    </row>
    <row r="5" spans="1:98" s="565" customFormat="1">
      <c r="A5" s="563" t="s">
        <v>33</v>
      </c>
      <c r="B5" s="563" t="s">
        <v>934</v>
      </c>
      <c r="C5" s="563" t="s">
        <v>935</v>
      </c>
      <c r="D5" s="563" t="s">
        <v>936</v>
      </c>
      <c r="E5" s="563" t="s">
        <v>937</v>
      </c>
      <c r="F5" s="563" t="s">
        <v>938</v>
      </c>
      <c r="G5" s="563" t="s">
        <v>939</v>
      </c>
      <c r="H5" s="564" t="s">
        <v>940</v>
      </c>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6"/>
      <c r="AR5" s="566"/>
      <c r="AS5" s="566"/>
      <c r="AT5" s="566"/>
      <c r="AU5" s="566"/>
      <c r="AV5" s="566"/>
      <c r="AW5" s="566"/>
      <c r="AX5" s="566"/>
      <c r="AY5" s="566"/>
      <c r="AZ5" s="566"/>
      <c r="BA5" s="566"/>
      <c r="BB5" s="566"/>
      <c r="BC5" s="566"/>
      <c r="BD5" s="566"/>
      <c r="BE5" s="566"/>
      <c r="BF5" s="566"/>
      <c r="BG5" s="566"/>
      <c r="BH5" s="566"/>
      <c r="BI5" s="566"/>
      <c r="BJ5" s="566"/>
      <c r="BK5" s="566"/>
      <c r="BL5" s="566"/>
      <c r="BM5" s="566"/>
      <c r="BN5" s="566"/>
      <c r="BO5" s="566"/>
      <c r="BP5" s="566"/>
      <c r="BQ5" s="566"/>
      <c r="BR5" s="566"/>
      <c r="BS5" s="566"/>
      <c r="BT5" s="566"/>
      <c r="BU5" s="566"/>
      <c r="BV5" s="566"/>
      <c r="BW5" s="566"/>
      <c r="BX5" s="566"/>
      <c r="BY5" s="566"/>
      <c r="BZ5" s="566"/>
      <c r="CA5" s="566"/>
      <c r="CB5" s="566"/>
      <c r="CC5" s="566"/>
      <c r="CD5" s="566"/>
      <c r="CE5" s="566"/>
      <c r="CF5" s="566"/>
      <c r="CG5" s="566"/>
      <c r="CH5" s="566"/>
      <c r="CI5" s="566"/>
      <c r="CJ5" s="566"/>
      <c r="CK5" s="566"/>
      <c r="CL5" s="566"/>
      <c r="CM5" s="566"/>
      <c r="CN5" s="566"/>
      <c r="CO5" s="566"/>
      <c r="CP5" s="566"/>
      <c r="CQ5" s="566"/>
      <c r="CR5" s="566"/>
      <c r="CS5" s="566"/>
      <c r="CT5" s="566"/>
    </row>
    <row r="6" spans="1:98" ht="8.25" customHeight="1"/>
    <row r="7" spans="1:98" s="567" customFormat="1" ht="12" customHeight="1">
      <c r="A7" s="567" t="s">
        <v>99</v>
      </c>
      <c r="B7" s="568">
        <v>2273820000</v>
      </c>
      <c r="C7" s="568">
        <v>1981873900</v>
      </c>
      <c r="D7" s="568">
        <v>2119336900</v>
      </c>
      <c r="E7" s="978">
        <v>4393156900</v>
      </c>
      <c r="F7" s="978">
        <v>4101210800</v>
      </c>
      <c r="G7" s="568">
        <v>17940900</v>
      </c>
      <c r="H7" s="570">
        <v>2011</v>
      </c>
      <c r="I7" s="571"/>
      <c r="J7" s="571"/>
      <c r="K7" s="571"/>
      <c r="L7" s="572"/>
      <c r="M7" s="572"/>
      <c r="N7" s="573"/>
      <c r="O7" s="573"/>
      <c r="P7" s="573"/>
      <c r="Q7" s="573"/>
      <c r="R7" s="573"/>
      <c r="S7" s="573"/>
      <c r="T7" s="574"/>
      <c r="U7" s="572"/>
      <c r="V7" s="572"/>
      <c r="W7" s="575"/>
      <c r="X7" s="575"/>
      <c r="Y7" s="575"/>
      <c r="Z7" s="575"/>
      <c r="AA7" s="575"/>
      <c r="AB7" s="575"/>
      <c r="AC7" s="575"/>
      <c r="AD7" s="572"/>
      <c r="AE7" s="572"/>
      <c r="AF7" s="572"/>
      <c r="AG7" s="572"/>
      <c r="AH7" s="572"/>
      <c r="AI7" s="572"/>
      <c r="AJ7" s="572"/>
      <c r="AK7" s="572"/>
      <c r="AL7" s="572"/>
      <c r="AM7" s="572"/>
      <c r="AN7" s="572"/>
      <c r="AO7" s="572"/>
      <c r="AP7" s="572"/>
      <c r="AQ7" s="572"/>
      <c r="AR7" s="572"/>
      <c r="AS7" s="572"/>
      <c r="AT7" s="572"/>
      <c r="AU7" s="572"/>
      <c r="AV7" s="572"/>
      <c r="AW7" s="572"/>
      <c r="AX7" s="572"/>
      <c r="AY7" s="572"/>
      <c r="AZ7" s="572"/>
      <c r="BA7" s="572"/>
      <c r="BB7" s="572"/>
      <c r="BC7" s="572"/>
      <c r="BD7" s="572"/>
      <c r="BE7" s="572"/>
      <c r="BF7" s="572"/>
      <c r="BG7" s="572"/>
      <c r="BH7" s="572"/>
      <c r="BI7" s="572"/>
      <c r="BJ7" s="572"/>
      <c r="BK7" s="572"/>
      <c r="BL7" s="572"/>
      <c r="BM7" s="572"/>
      <c r="BN7" s="572"/>
      <c r="BO7" s="572"/>
      <c r="BP7" s="572"/>
      <c r="BQ7" s="572"/>
      <c r="BR7" s="572"/>
      <c r="BS7" s="572"/>
      <c r="BT7" s="572"/>
      <c r="BU7" s="572"/>
      <c r="BV7" s="572"/>
      <c r="BW7" s="572"/>
      <c r="BX7" s="572"/>
      <c r="BY7" s="572"/>
      <c r="BZ7" s="572"/>
      <c r="CA7" s="572"/>
      <c r="CB7" s="572"/>
      <c r="CC7" s="572"/>
      <c r="CD7" s="572"/>
      <c r="CE7" s="572"/>
      <c r="CF7" s="572"/>
      <c r="CG7" s="572"/>
      <c r="CH7" s="572"/>
      <c r="CI7" s="572"/>
      <c r="CJ7" s="572"/>
      <c r="CK7" s="572"/>
      <c r="CL7" s="572"/>
      <c r="CM7" s="572"/>
      <c r="CN7" s="572"/>
      <c r="CO7" s="572"/>
      <c r="CP7" s="572"/>
      <c r="CQ7" s="572"/>
      <c r="CR7" s="572"/>
      <c r="CS7" s="572"/>
      <c r="CT7" s="572"/>
    </row>
    <row r="8" spans="1:98" ht="12" customHeight="1">
      <c r="A8" s="556" t="s">
        <v>101</v>
      </c>
      <c r="B8" s="576">
        <v>8401039000</v>
      </c>
      <c r="C8" s="576">
        <v>6059324100</v>
      </c>
      <c r="D8" s="576">
        <v>9058026600</v>
      </c>
      <c r="E8" s="979">
        <v>17459065600</v>
      </c>
      <c r="F8" s="979">
        <v>15117350700</v>
      </c>
      <c r="G8" s="576">
        <v>112170742.19400001</v>
      </c>
      <c r="H8" s="570">
        <v>2011</v>
      </c>
      <c r="I8" s="571"/>
      <c r="J8" s="571"/>
      <c r="K8" s="571"/>
      <c r="N8" s="578"/>
      <c r="O8" s="578"/>
      <c r="P8" s="578"/>
      <c r="Q8" s="578"/>
      <c r="R8" s="578"/>
      <c r="S8" s="578"/>
      <c r="T8" s="579"/>
      <c r="W8" s="580"/>
      <c r="X8" s="580"/>
      <c r="Y8" s="580"/>
      <c r="Z8" s="580"/>
      <c r="AA8" s="580"/>
      <c r="AB8" s="580"/>
      <c r="AC8" s="580"/>
    </row>
    <row r="9" spans="1:98" ht="12" customHeight="1">
      <c r="A9" s="556" t="s">
        <v>103</v>
      </c>
      <c r="B9" s="581">
        <v>300746700</v>
      </c>
      <c r="C9" s="581">
        <v>217930800</v>
      </c>
      <c r="D9" s="581">
        <v>779450500</v>
      </c>
      <c r="E9" s="980">
        <v>1080197200</v>
      </c>
      <c r="F9" s="980">
        <v>997381300</v>
      </c>
      <c r="G9" s="581">
        <v>6383240.3200000003</v>
      </c>
      <c r="H9" s="570">
        <v>2011</v>
      </c>
      <c r="I9" s="571"/>
      <c r="J9" s="571"/>
      <c r="K9" s="571"/>
      <c r="N9" s="578"/>
      <c r="O9" s="578"/>
      <c r="P9" s="578"/>
      <c r="Q9" s="578"/>
      <c r="R9" s="578"/>
      <c r="S9" s="578"/>
      <c r="T9" s="579"/>
      <c r="W9" s="580"/>
      <c r="X9" s="580"/>
      <c r="Y9" s="580"/>
      <c r="Z9" s="580"/>
      <c r="AA9" s="580"/>
      <c r="AB9" s="580"/>
      <c r="AC9" s="580"/>
    </row>
    <row r="10" spans="1:98" ht="12" customHeight="1">
      <c r="A10" s="556" t="s">
        <v>105</v>
      </c>
      <c r="B10" s="576">
        <v>481062300</v>
      </c>
      <c r="C10" s="576">
        <v>404794700</v>
      </c>
      <c r="D10" s="576">
        <v>671506000</v>
      </c>
      <c r="E10" s="979">
        <v>1152568300</v>
      </c>
      <c r="F10" s="979">
        <v>1076300700</v>
      </c>
      <c r="G10" s="576">
        <v>4628093.01</v>
      </c>
      <c r="H10" s="570">
        <v>2011</v>
      </c>
      <c r="I10" s="571"/>
      <c r="J10" s="571"/>
      <c r="K10" s="571"/>
      <c r="N10" s="578"/>
      <c r="O10" s="578"/>
      <c r="P10" s="578"/>
      <c r="Q10" s="578"/>
      <c r="R10" s="578"/>
      <c r="S10" s="578"/>
      <c r="T10" s="579"/>
      <c r="W10" s="580"/>
      <c r="X10" s="580"/>
      <c r="Y10" s="580"/>
      <c r="Z10" s="580"/>
      <c r="AA10" s="580"/>
      <c r="AB10" s="580"/>
      <c r="AC10" s="580"/>
    </row>
    <row r="11" spans="1:98" ht="12" customHeight="1">
      <c r="A11" s="556" t="s">
        <v>107</v>
      </c>
      <c r="B11" s="576">
        <v>1102943100</v>
      </c>
      <c r="C11" s="576">
        <v>827087300</v>
      </c>
      <c r="D11" s="576">
        <v>1553888600</v>
      </c>
      <c r="E11" s="979">
        <v>2656831700</v>
      </c>
      <c r="F11" s="979">
        <v>2380975900</v>
      </c>
      <c r="G11" s="576">
        <v>12381074.68</v>
      </c>
      <c r="H11" s="570">
        <v>2011</v>
      </c>
      <c r="I11" s="571"/>
      <c r="J11" s="571"/>
      <c r="K11" s="571"/>
      <c r="N11" s="578"/>
      <c r="O11" s="578"/>
      <c r="P11" s="578"/>
      <c r="Q11" s="578"/>
      <c r="R11" s="578"/>
      <c r="S11" s="578"/>
      <c r="T11" s="579"/>
      <c r="W11" s="580"/>
      <c r="X11" s="580"/>
      <c r="Y11" s="580"/>
      <c r="Z11" s="580"/>
      <c r="AA11" s="580"/>
      <c r="AB11" s="580"/>
      <c r="AC11" s="580"/>
    </row>
    <row r="12" spans="1:98" ht="9" customHeight="1">
      <c r="B12" s="576"/>
      <c r="C12" s="576"/>
      <c r="D12" s="576"/>
      <c r="E12" s="979"/>
      <c r="F12" s="979"/>
      <c r="G12" s="576"/>
      <c r="N12" s="578"/>
      <c r="O12" s="578"/>
      <c r="P12" s="578"/>
      <c r="Q12" s="578"/>
      <c r="R12" s="578"/>
      <c r="S12" s="578"/>
      <c r="T12" s="579"/>
      <c r="W12" s="580"/>
      <c r="X12" s="580"/>
      <c r="Y12" s="580"/>
      <c r="Z12" s="580"/>
      <c r="AA12" s="580"/>
      <c r="AB12" s="580"/>
      <c r="AC12" s="580"/>
    </row>
    <row r="13" spans="1:98" s="567" customFormat="1" ht="12" customHeight="1">
      <c r="A13" s="567" t="s">
        <v>109</v>
      </c>
      <c r="B13" s="576">
        <v>618281200</v>
      </c>
      <c r="C13" s="576">
        <v>566024864</v>
      </c>
      <c r="D13" s="576">
        <v>722901900</v>
      </c>
      <c r="E13" s="979">
        <v>1341183100</v>
      </c>
      <c r="F13" s="979">
        <v>1288926764</v>
      </c>
      <c r="G13" s="576">
        <v>6380210.9699999997</v>
      </c>
      <c r="H13" s="570">
        <v>2011</v>
      </c>
      <c r="I13" s="571"/>
      <c r="J13" s="571"/>
      <c r="K13" s="571"/>
      <c r="L13" s="572"/>
      <c r="M13" s="572"/>
      <c r="N13" s="583"/>
      <c r="O13" s="583"/>
      <c r="P13" s="583"/>
      <c r="Q13" s="583"/>
      <c r="R13" s="583"/>
      <c r="S13" s="583"/>
      <c r="T13" s="574"/>
      <c r="U13" s="572"/>
      <c r="V13" s="572"/>
      <c r="W13" s="575"/>
      <c r="X13" s="575"/>
      <c r="Y13" s="575"/>
      <c r="Z13" s="575"/>
      <c r="AA13" s="575"/>
      <c r="AB13" s="575"/>
      <c r="AC13" s="575"/>
      <c r="AD13" s="572"/>
      <c r="AE13" s="572"/>
      <c r="AF13" s="572"/>
      <c r="AG13" s="572"/>
      <c r="AH13" s="572"/>
      <c r="AI13" s="572"/>
      <c r="AJ13" s="572"/>
      <c r="AK13" s="572"/>
      <c r="AL13" s="572"/>
      <c r="AM13" s="572"/>
      <c r="AN13" s="572"/>
      <c r="AO13" s="572"/>
      <c r="AP13" s="572"/>
      <c r="AQ13" s="572"/>
      <c r="AR13" s="572"/>
      <c r="AS13" s="572"/>
      <c r="AT13" s="572"/>
      <c r="AU13" s="572"/>
      <c r="AV13" s="572"/>
      <c r="AW13" s="572"/>
      <c r="AX13" s="572"/>
      <c r="AY13" s="572"/>
      <c r="AZ13" s="572"/>
      <c r="BA13" s="572"/>
      <c r="BB13" s="572"/>
      <c r="BC13" s="572"/>
      <c r="BD13" s="572"/>
      <c r="BE13" s="572"/>
      <c r="BF13" s="572"/>
      <c r="BG13" s="572"/>
      <c r="BH13" s="572"/>
      <c r="BI13" s="572"/>
      <c r="BJ13" s="572"/>
      <c r="BK13" s="572"/>
      <c r="BL13" s="572"/>
      <c r="BM13" s="572"/>
      <c r="BN13" s="572"/>
      <c r="BO13" s="572"/>
      <c r="BP13" s="572"/>
      <c r="BQ13" s="572"/>
      <c r="BR13" s="572"/>
      <c r="BS13" s="572"/>
      <c r="BT13" s="572"/>
      <c r="BU13" s="572"/>
      <c r="BV13" s="572"/>
      <c r="BW13" s="572"/>
      <c r="BX13" s="572"/>
      <c r="BY13" s="572"/>
      <c r="BZ13" s="572"/>
      <c r="CA13" s="572"/>
      <c r="CB13" s="572"/>
      <c r="CC13" s="572"/>
      <c r="CD13" s="572"/>
      <c r="CE13" s="572"/>
      <c r="CF13" s="572"/>
      <c r="CG13" s="572"/>
      <c r="CH13" s="572"/>
      <c r="CI13" s="572"/>
      <c r="CJ13" s="572"/>
      <c r="CK13" s="572"/>
      <c r="CL13" s="572"/>
      <c r="CM13" s="572"/>
      <c r="CN13" s="572"/>
      <c r="CO13" s="572"/>
      <c r="CP13" s="572"/>
      <c r="CQ13" s="572"/>
      <c r="CR13" s="572"/>
      <c r="CS13" s="572"/>
      <c r="CT13" s="572"/>
    </row>
    <row r="14" spans="1:98" ht="12" customHeight="1">
      <c r="A14" s="556" t="s">
        <v>111</v>
      </c>
      <c r="B14" s="576">
        <v>23065989700</v>
      </c>
      <c r="C14" s="576">
        <v>23065989700</v>
      </c>
      <c r="D14" s="576">
        <v>34393173700</v>
      </c>
      <c r="E14" s="979">
        <v>57459163400</v>
      </c>
      <c r="F14" s="979">
        <v>57459163400</v>
      </c>
      <c r="G14" s="576">
        <v>578196838.39999998</v>
      </c>
      <c r="H14" s="570">
        <v>2011</v>
      </c>
      <c r="I14" s="571"/>
      <c r="J14" s="571"/>
      <c r="K14" s="571"/>
      <c r="N14" s="578"/>
      <c r="O14" s="578"/>
      <c r="P14" s="578"/>
      <c r="Q14" s="578"/>
      <c r="R14" s="578"/>
      <c r="S14" s="578"/>
      <c r="T14" s="579"/>
      <c r="W14" s="580"/>
      <c r="X14" s="580"/>
      <c r="Y14" s="580"/>
      <c r="Z14" s="580"/>
      <c r="AA14" s="580"/>
      <c r="AB14" s="580"/>
      <c r="AC14" s="580"/>
    </row>
    <row r="15" spans="1:98" s="567" customFormat="1" ht="12" customHeight="1">
      <c r="A15" s="567" t="s">
        <v>113</v>
      </c>
      <c r="B15" s="581">
        <v>3888339900</v>
      </c>
      <c r="C15" s="581">
        <v>2493060240</v>
      </c>
      <c r="D15" s="581">
        <v>4113662400</v>
      </c>
      <c r="E15" s="980">
        <v>8002002300</v>
      </c>
      <c r="F15" s="980">
        <v>6606722640</v>
      </c>
      <c r="G15" s="581">
        <v>31712268.989999998</v>
      </c>
      <c r="H15" s="570">
        <v>2011</v>
      </c>
      <c r="I15" s="571"/>
      <c r="J15" s="571"/>
      <c r="K15" s="571"/>
      <c r="L15" s="572"/>
      <c r="M15" s="572"/>
      <c r="N15" s="583"/>
      <c r="O15" s="583"/>
      <c r="P15" s="583"/>
      <c r="Q15" s="583"/>
      <c r="R15" s="583"/>
      <c r="S15" s="583"/>
      <c r="T15" s="574"/>
      <c r="U15" s="572"/>
      <c r="V15" s="572"/>
      <c r="W15" s="575"/>
      <c r="X15" s="575"/>
      <c r="Y15" s="575"/>
      <c r="Z15" s="575"/>
      <c r="AA15" s="575"/>
      <c r="AB15" s="575"/>
      <c r="AC15" s="575"/>
      <c r="AD15" s="572"/>
      <c r="AE15" s="572"/>
      <c r="AF15" s="572"/>
      <c r="AG15" s="572"/>
      <c r="AH15" s="572"/>
      <c r="AI15" s="572"/>
      <c r="AJ15" s="572"/>
      <c r="AK15" s="572"/>
      <c r="AL15" s="572"/>
      <c r="AM15" s="572"/>
      <c r="AN15" s="572"/>
      <c r="AO15" s="572"/>
      <c r="AP15" s="572"/>
      <c r="AQ15" s="572"/>
      <c r="AR15" s="572"/>
      <c r="AS15" s="572"/>
      <c r="AT15" s="572"/>
      <c r="AU15" s="572"/>
      <c r="AV15" s="572"/>
      <c r="AW15" s="572"/>
      <c r="AX15" s="572"/>
      <c r="AY15" s="572"/>
      <c r="AZ15" s="572"/>
      <c r="BA15" s="572"/>
      <c r="BB15" s="572"/>
      <c r="BC15" s="572"/>
      <c r="BD15" s="572"/>
      <c r="BE15" s="572"/>
      <c r="BF15" s="572"/>
      <c r="BG15" s="572"/>
      <c r="BH15" s="572"/>
      <c r="BI15" s="572"/>
      <c r="BJ15" s="572"/>
      <c r="BK15" s="572"/>
      <c r="BL15" s="572"/>
      <c r="BM15" s="572"/>
      <c r="BN15" s="572"/>
      <c r="BO15" s="572"/>
      <c r="BP15" s="572"/>
      <c r="BQ15" s="572"/>
      <c r="BR15" s="572"/>
      <c r="BS15" s="572"/>
      <c r="BT15" s="572"/>
      <c r="BU15" s="572"/>
      <c r="BV15" s="572"/>
      <c r="BW15" s="572"/>
      <c r="BX15" s="572"/>
      <c r="BY15" s="572"/>
      <c r="BZ15" s="572"/>
      <c r="CA15" s="572"/>
      <c r="CB15" s="572"/>
      <c r="CC15" s="572"/>
      <c r="CD15" s="572"/>
      <c r="CE15" s="572"/>
      <c r="CF15" s="572"/>
      <c r="CG15" s="572"/>
      <c r="CH15" s="572"/>
      <c r="CI15" s="572"/>
      <c r="CJ15" s="572"/>
      <c r="CK15" s="572"/>
      <c r="CL15" s="572"/>
      <c r="CM15" s="572"/>
      <c r="CN15" s="572"/>
      <c r="CO15" s="572"/>
      <c r="CP15" s="572"/>
      <c r="CQ15" s="572"/>
      <c r="CR15" s="572"/>
      <c r="CS15" s="572"/>
      <c r="CT15" s="572"/>
    </row>
    <row r="16" spans="1:98" ht="12" customHeight="1">
      <c r="A16" s="556" t="s">
        <v>115</v>
      </c>
      <c r="B16" s="576">
        <v>469102600</v>
      </c>
      <c r="C16" s="576">
        <v>409456200</v>
      </c>
      <c r="D16" s="576">
        <v>490145300</v>
      </c>
      <c r="E16" s="979">
        <v>959247900</v>
      </c>
      <c r="F16" s="979">
        <v>899601500</v>
      </c>
      <c r="G16" s="576">
        <v>4318087.2</v>
      </c>
      <c r="H16" s="557" t="s">
        <v>1089</v>
      </c>
      <c r="I16" s="571"/>
      <c r="J16" s="571"/>
      <c r="K16" s="571"/>
      <c r="N16" s="578"/>
      <c r="O16" s="578"/>
      <c r="P16" s="578"/>
      <c r="Q16" s="578"/>
      <c r="R16" s="578"/>
      <c r="S16" s="578"/>
      <c r="T16" s="579"/>
      <c r="W16" s="580"/>
      <c r="X16" s="580"/>
      <c r="Y16" s="580"/>
      <c r="Z16" s="580"/>
      <c r="AA16" s="580"/>
      <c r="AB16" s="580"/>
      <c r="AC16" s="580"/>
    </row>
    <row r="17" spans="1:98" ht="12" customHeight="1">
      <c r="A17" s="556" t="s">
        <v>117</v>
      </c>
      <c r="B17" s="581">
        <v>3916497800</v>
      </c>
      <c r="C17" s="581">
        <v>2743777510</v>
      </c>
      <c r="D17" s="581">
        <v>4758158340</v>
      </c>
      <c r="E17" s="980">
        <v>8674656140</v>
      </c>
      <c r="F17" s="980">
        <v>7501935850</v>
      </c>
      <c r="G17" s="581">
        <v>37509679.25</v>
      </c>
      <c r="H17" s="570">
        <v>2011</v>
      </c>
      <c r="I17" s="571"/>
      <c r="J17" s="571"/>
      <c r="K17" s="571"/>
      <c r="Q17" s="584"/>
      <c r="R17" s="584"/>
      <c r="T17" s="579"/>
      <c r="W17" s="580"/>
      <c r="X17" s="580"/>
      <c r="Y17" s="580"/>
      <c r="Z17" s="580"/>
      <c r="AA17" s="580"/>
      <c r="AB17" s="580"/>
      <c r="AC17" s="580"/>
    </row>
    <row r="18" spans="1:98" ht="9" customHeight="1">
      <c r="B18" s="981"/>
      <c r="C18" s="981"/>
      <c r="D18" s="981"/>
      <c r="E18" s="979"/>
      <c r="F18" s="979"/>
      <c r="G18" s="981"/>
      <c r="H18" s="982"/>
      <c r="N18" s="578"/>
      <c r="O18" s="578"/>
      <c r="P18" s="578"/>
      <c r="Q18" s="578"/>
      <c r="R18" s="578"/>
      <c r="S18" s="578"/>
      <c r="T18" s="579"/>
      <c r="W18" s="580"/>
      <c r="X18" s="580"/>
      <c r="Y18" s="580"/>
      <c r="Z18" s="580"/>
      <c r="AA18" s="580"/>
      <c r="AB18" s="580"/>
      <c r="AC18" s="580"/>
    </row>
    <row r="19" spans="1:98" ht="12" customHeight="1">
      <c r="A19" s="556" t="s">
        <v>119</v>
      </c>
      <c r="B19" s="576">
        <v>410560600</v>
      </c>
      <c r="C19" s="576">
        <v>222337300</v>
      </c>
      <c r="D19" s="576">
        <v>245723600</v>
      </c>
      <c r="E19" s="979">
        <v>656284200</v>
      </c>
      <c r="F19" s="979">
        <v>468060900</v>
      </c>
      <c r="G19" s="576">
        <v>2574334.9500000002</v>
      </c>
      <c r="H19" s="570">
        <v>2011</v>
      </c>
      <c r="I19" s="571"/>
      <c r="J19" s="571"/>
      <c r="K19" s="571"/>
      <c r="N19" s="578"/>
      <c r="O19" s="578"/>
      <c r="P19" s="578"/>
      <c r="Q19" s="578"/>
      <c r="R19" s="578"/>
      <c r="S19" s="578"/>
      <c r="T19" s="579"/>
      <c r="W19" s="580"/>
      <c r="X19" s="580"/>
      <c r="Y19" s="580"/>
      <c r="Z19" s="580"/>
      <c r="AA19" s="580"/>
      <c r="AB19" s="580"/>
      <c r="AC19" s="580"/>
    </row>
    <row r="20" spans="1:98" s="567" customFormat="1" ht="12" customHeight="1">
      <c r="A20" s="567" t="s">
        <v>121</v>
      </c>
      <c r="B20" s="581">
        <v>1284164800</v>
      </c>
      <c r="C20" s="581">
        <v>1188465100</v>
      </c>
      <c r="D20" s="581">
        <v>2282213762</v>
      </c>
      <c r="E20" s="980">
        <v>3566378562</v>
      </c>
      <c r="F20" s="980">
        <v>3470678862</v>
      </c>
      <c r="G20" s="581">
        <v>22559412.603</v>
      </c>
      <c r="H20" s="570">
        <v>2011</v>
      </c>
      <c r="I20" s="571"/>
      <c r="J20" s="571"/>
      <c r="K20" s="571"/>
      <c r="L20" s="572"/>
      <c r="M20" s="572"/>
      <c r="N20" s="583"/>
      <c r="O20" s="583"/>
      <c r="P20" s="583"/>
      <c r="Q20" s="583"/>
      <c r="R20" s="583"/>
      <c r="S20" s="583"/>
      <c r="T20" s="574"/>
      <c r="U20" s="572"/>
      <c r="V20" s="572"/>
      <c r="W20" s="575"/>
      <c r="X20" s="575"/>
      <c r="Y20" s="575"/>
      <c r="Z20" s="575"/>
      <c r="AA20" s="575"/>
      <c r="AB20" s="575"/>
      <c r="AC20" s="575"/>
      <c r="AD20" s="572"/>
      <c r="AE20" s="572"/>
      <c r="AF20" s="572"/>
      <c r="AG20" s="572"/>
      <c r="AH20" s="572"/>
      <c r="AI20" s="572"/>
      <c r="AJ20" s="572"/>
      <c r="AK20" s="572"/>
      <c r="AL20" s="572"/>
      <c r="AM20" s="572"/>
      <c r="AN20" s="572"/>
      <c r="AO20" s="572"/>
      <c r="AP20" s="572"/>
      <c r="AQ20" s="572"/>
      <c r="AR20" s="572"/>
      <c r="AS20" s="572"/>
      <c r="AT20" s="572"/>
      <c r="AU20" s="572"/>
      <c r="AV20" s="572"/>
      <c r="AW20" s="572"/>
      <c r="AX20" s="572"/>
      <c r="AY20" s="572"/>
      <c r="AZ20" s="572"/>
      <c r="BA20" s="572"/>
      <c r="BB20" s="572"/>
      <c r="BC20" s="572"/>
      <c r="BD20" s="572"/>
      <c r="BE20" s="572"/>
      <c r="BF20" s="572"/>
      <c r="BG20" s="572"/>
      <c r="BH20" s="572"/>
      <c r="BI20" s="572"/>
      <c r="BJ20" s="572"/>
      <c r="BK20" s="572"/>
      <c r="BL20" s="572"/>
      <c r="BM20" s="572"/>
      <c r="BN20" s="572"/>
      <c r="BO20" s="572"/>
      <c r="BP20" s="572"/>
      <c r="BQ20" s="572"/>
      <c r="BR20" s="572"/>
      <c r="BS20" s="572"/>
      <c r="BT20" s="572"/>
      <c r="BU20" s="572"/>
      <c r="BV20" s="572"/>
      <c r="BW20" s="572"/>
      <c r="BX20" s="572"/>
      <c r="BY20" s="572"/>
      <c r="BZ20" s="572"/>
      <c r="CA20" s="572"/>
      <c r="CB20" s="572"/>
      <c r="CC20" s="572"/>
      <c r="CD20" s="572"/>
      <c r="CE20" s="572"/>
      <c r="CF20" s="572"/>
      <c r="CG20" s="572"/>
      <c r="CH20" s="572"/>
      <c r="CI20" s="572"/>
      <c r="CJ20" s="572"/>
      <c r="CK20" s="572"/>
      <c r="CL20" s="572"/>
      <c r="CM20" s="572"/>
      <c r="CN20" s="572"/>
      <c r="CO20" s="572"/>
      <c r="CP20" s="572"/>
      <c r="CQ20" s="572"/>
      <c r="CR20" s="572"/>
      <c r="CS20" s="572"/>
      <c r="CT20" s="572"/>
    </row>
    <row r="21" spans="1:98" ht="12" customHeight="1">
      <c r="A21" s="556" t="s">
        <v>123</v>
      </c>
      <c r="B21" s="581">
        <v>668007000</v>
      </c>
      <c r="C21" s="581">
        <v>668007000</v>
      </c>
      <c r="D21" s="581">
        <v>602884564</v>
      </c>
      <c r="E21" s="980">
        <v>1270891564</v>
      </c>
      <c r="F21" s="980">
        <v>1270891564</v>
      </c>
      <c r="G21" s="581">
        <v>4956477.0996000003</v>
      </c>
      <c r="H21" s="570">
        <v>2011</v>
      </c>
      <c r="I21" s="571"/>
      <c r="J21" s="571"/>
      <c r="K21" s="571"/>
      <c r="N21" s="578"/>
      <c r="O21" s="578"/>
      <c r="P21" s="578"/>
      <c r="Q21" s="578"/>
      <c r="R21" s="578"/>
      <c r="S21" s="578"/>
      <c r="T21" s="579"/>
      <c r="W21" s="580"/>
      <c r="X21" s="580"/>
      <c r="Y21" s="580"/>
      <c r="Z21" s="580"/>
      <c r="AA21" s="580"/>
      <c r="AB21" s="580"/>
      <c r="AC21" s="580"/>
    </row>
    <row r="22" spans="1:98" s="567" customFormat="1" ht="12" customHeight="1">
      <c r="A22" s="567" t="s">
        <v>125</v>
      </c>
      <c r="B22" s="581">
        <v>609082668</v>
      </c>
      <c r="C22" s="581">
        <v>609082668</v>
      </c>
      <c r="D22" s="581">
        <v>1445551376</v>
      </c>
      <c r="E22" s="980">
        <v>2054634044</v>
      </c>
      <c r="F22" s="980">
        <v>2054634044</v>
      </c>
      <c r="G22" s="581">
        <v>8834926.3892000001</v>
      </c>
      <c r="H22" s="570">
        <v>2011</v>
      </c>
      <c r="I22" s="571"/>
      <c r="J22" s="571"/>
      <c r="K22" s="571"/>
      <c r="L22" s="572"/>
      <c r="M22" s="572"/>
      <c r="N22" s="583"/>
      <c r="O22" s="583"/>
      <c r="P22" s="583"/>
      <c r="Q22" s="583"/>
      <c r="R22" s="583"/>
      <c r="S22" s="583"/>
      <c r="T22" s="574"/>
      <c r="U22" s="572"/>
      <c r="V22" s="572"/>
      <c r="W22" s="575"/>
      <c r="X22" s="575"/>
      <c r="Y22" s="575"/>
      <c r="Z22" s="575"/>
      <c r="AA22" s="575"/>
      <c r="AB22" s="575"/>
      <c r="AC22" s="575"/>
      <c r="AD22" s="572"/>
      <c r="AE22" s="572"/>
      <c r="AF22" s="572"/>
      <c r="AG22" s="572"/>
      <c r="AH22" s="572"/>
      <c r="AI22" s="572"/>
      <c r="AJ22" s="572"/>
      <c r="AK22" s="572"/>
      <c r="AL22" s="572"/>
      <c r="AM22" s="572"/>
      <c r="AN22" s="572"/>
      <c r="AO22" s="572"/>
      <c r="AP22" s="572"/>
      <c r="AQ22" s="572"/>
      <c r="AR22" s="572"/>
      <c r="AS22" s="572"/>
      <c r="AT22" s="572"/>
      <c r="AU22" s="572"/>
      <c r="AV22" s="572"/>
      <c r="AW22" s="572"/>
      <c r="AX22" s="572"/>
      <c r="AY22" s="572"/>
      <c r="AZ22" s="572"/>
      <c r="BA22" s="572"/>
      <c r="BB22" s="572"/>
      <c r="BC22" s="572"/>
      <c r="BD22" s="572"/>
      <c r="BE22" s="572"/>
      <c r="BF22" s="572"/>
      <c r="BG22" s="572"/>
      <c r="BH22" s="572"/>
      <c r="BI22" s="572"/>
      <c r="BJ22" s="572"/>
      <c r="BK22" s="572"/>
      <c r="BL22" s="572"/>
      <c r="BM22" s="572"/>
      <c r="BN22" s="572"/>
      <c r="BO22" s="572"/>
      <c r="BP22" s="572"/>
      <c r="BQ22" s="572"/>
      <c r="BR22" s="572"/>
      <c r="BS22" s="572"/>
      <c r="BT22" s="572"/>
      <c r="BU22" s="572"/>
      <c r="BV22" s="572"/>
      <c r="BW22" s="572"/>
      <c r="BX22" s="572"/>
      <c r="BY22" s="572"/>
      <c r="BZ22" s="572"/>
      <c r="CA22" s="572"/>
      <c r="CB22" s="572"/>
      <c r="CC22" s="572"/>
      <c r="CD22" s="572"/>
      <c r="CE22" s="572"/>
      <c r="CF22" s="572"/>
      <c r="CG22" s="572"/>
      <c r="CH22" s="572"/>
      <c r="CI22" s="572"/>
      <c r="CJ22" s="572"/>
      <c r="CK22" s="572"/>
      <c r="CL22" s="572"/>
      <c r="CM22" s="572"/>
      <c r="CN22" s="572"/>
      <c r="CO22" s="572"/>
      <c r="CP22" s="572"/>
      <c r="CQ22" s="572"/>
      <c r="CR22" s="572"/>
      <c r="CS22" s="572"/>
      <c r="CT22" s="572"/>
    </row>
    <row r="23" spans="1:98" ht="12" customHeight="1">
      <c r="A23" s="556" t="s">
        <v>127</v>
      </c>
      <c r="B23" s="576">
        <v>751707900</v>
      </c>
      <c r="C23" s="576">
        <v>751707900</v>
      </c>
      <c r="D23" s="576">
        <v>696751406</v>
      </c>
      <c r="E23" s="979">
        <v>1448459306</v>
      </c>
      <c r="F23" s="979">
        <v>1448459306</v>
      </c>
      <c r="G23" s="576">
        <v>6373220.9464000007</v>
      </c>
      <c r="H23" s="570">
        <v>2011</v>
      </c>
      <c r="I23" s="571"/>
      <c r="J23" s="571"/>
      <c r="K23" s="571"/>
      <c r="N23" s="578"/>
      <c r="O23" s="578"/>
      <c r="P23" s="578"/>
      <c r="Q23" s="578"/>
      <c r="R23" s="578"/>
      <c r="S23" s="578"/>
      <c r="T23" s="579"/>
      <c r="W23" s="580"/>
      <c r="X23" s="580"/>
      <c r="Y23" s="580"/>
      <c r="Z23" s="580"/>
      <c r="AA23" s="580"/>
      <c r="AB23" s="580"/>
      <c r="AC23" s="580"/>
    </row>
    <row r="24" spans="1:98" ht="9" customHeight="1">
      <c r="B24" s="576"/>
      <c r="C24" s="576"/>
      <c r="D24" s="576"/>
      <c r="E24" s="979"/>
      <c r="F24" s="979"/>
      <c r="G24" s="576"/>
      <c r="N24" s="578"/>
      <c r="O24" s="578"/>
      <c r="P24" s="578"/>
      <c r="Q24" s="578"/>
      <c r="R24" s="578"/>
      <c r="S24" s="578"/>
      <c r="T24" s="579"/>
      <c r="W24" s="580"/>
      <c r="X24" s="580"/>
      <c r="Y24" s="580"/>
      <c r="Z24" s="580"/>
      <c r="AA24" s="580"/>
      <c r="AB24" s="580"/>
      <c r="AC24" s="580"/>
    </row>
    <row r="25" spans="1:98" s="567" customFormat="1" ht="12" customHeight="1">
      <c r="A25" s="567" t="s">
        <v>129</v>
      </c>
      <c r="B25" s="581">
        <v>1277576325</v>
      </c>
      <c r="C25" s="581">
        <v>1020771669</v>
      </c>
      <c r="D25" s="581">
        <v>2529454200</v>
      </c>
      <c r="E25" s="980">
        <v>3807030525</v>
      </c>
      <c r="F25" s="980">
        <v>3550225869</v>
      </c>
      <c r="G25" s="581">
        <v>16331038.997399999</v>
      </c>
      <c r="H25" s="570">
        <v>2011</v>
      </c>
      <c r="I25" s="571"/>
      <c r="J25" s="571"/>
      <c r="K25" s="571"/>
      <c r="L25" s="572"/>
      <c r="M25" s="572"/>
      <c r="N25" s="572"/>
      <c r="O25" s="572"/>
      <c r="P25" s="583"/>
      <c r="Q25" s="583"/>
      <c r="R25" s="583"/>
      <c r="S25" s="583"/>
      <c r="T25" s="574"/>
      <c r="U25" s="572"/>
      <c r="V25" s="572"/>
      <c r="W25" s="575"/>
      <c r="X25" s="575"/>
      <c r="Y25" s="575"/>
      <c r="Z25" s="575"/>
      <c r="AA25" s="575"/>
      <c r="AB25" s="575"/>
      <c r="AC25" s="575"/>
      <c r="AD25" s="572"/>
      <c r="AE25" s="572"/>
      <c r="AF25" s="572"/>
      <c r="AG25" s="572"/>
      <c r="AH25" s="572"/>
      <c r="AI25" s="572"/>
      <c r="AJ25" s="572"/>
      <c r="AK25" s="572"/>
      <c r="AL25" s="572"/>
      <c r="AM25" s="572"/>
      <c r="AN25" s="572"/>
      <c r="AO25" s="572"/>
      <c r="AP25" s="572"/>
      <c r="AQ25" s="572"/>
      <c r="AR25" s="572"/>
      <c r="AS25" s="572"/>
      <c r="AT25" s="572"/>
      <c r="AU25" s="572"/>
      <c r="AV25" s="572"/>
      <c r="AW25" s="572"/>
      <c r="AX25" s="572"/>
      <c r="AY25" s="572"/>
      <c r="AZ25" s="572"/>
      <c r="BA25" s="572"/>
      <c r="BB25" s="572"/>
      <c r="BC25" s="572"/>
      <c r="BD25" s="572"/>
      <c r="BE25" s="572"/>
      <c r="BF25" s="572"/>
      <c r="BG25" s="572"/>
      <c r="BH25" s="572"/>
      <c r="BI25" s="572"/>
      <c r="BJ25" s="572"/>
      <c r="BK25" s="572"/>
      <c r="BL25" s="572"/>
      <c r="BM25" s="572"/>
      <c r="BN25" s="572"/>
      <c r="BO25" s="572"/>
      <c r="BP25" s="572"/>
      <c r="BQ25" s="572"/>
      <c r="BR25" s="572"/>
      <c r="BS25" s="572"/>
      <c r="BT25" s="572"/>
      <c r="BU25" s="572"/>
      <c r="BV25" s="572"/>
      <c r="BW25" s="572"/>
      <c r="BX25" s="572"/>
      <c r="BY25" s="572"/>
      <c r="BZ25" s="572"/>
      <c r="CA25" s="572"/>
      <c r="CB25" s="572"/>
      <c r="CC25" s="572"/>
      <c r="CD25" s="572"/>
      <c r="CE25" s="572"/>
      <c r="CF25" s="572"/>
      <c r="CG25" s="572"/>
      <c r="CH25" s="572"/>
      <c r="CI25" s="572"/>
      <c r="CJ25" s="572"/>
      <c r="CK25" s="572"/>
      <c r="CL25" s="572"/>
      <c r="CM25" s="572"/>
      <c r="CN25" s="572"/>
      <c r="CO25" s="572"/>
      <c r="CP25" s="572"/>
      <c r="CQ25" s="572"/>
      <c r="CR25" s="572"/>
      <c r="CS25" s="572"/>
      <c r="CT25" s="572"/>
    </row>
    <row r="26" spans="1:98" ht="12" customHeight="1">
      <c r="A26" s="556" t="s">
        <v>131</v>
      </c>
      <c r="B26" s="576">
        <v>1164233074</v>
      </c>
      <c r="C26" s="576">
        <v>972221607</v>
      </c>
      <c r="D26" s="576">
        <v>1490343400</v>
      </c>
      <c r="E26" s="979">
        <v>2654576474</v>
      </c>
      <c r="F26" s="979">
        <v>2462565007</v>
      </c>
      <c r="G26" s="576">
        <v>16745442.047600001</v>
      </c>
      <c r="H26" s="570">
        <v>2011</v>
      </c>
      <c r="I26" s="571"/>
      <c r="J26" s="571"/>
      <c r="K26" s="571"/>
      <c r="N26" s="578"/>
      <c r="O26" s="578"/>
      <c r="P26" s="578"/>
      <c r="Q26" s="578"/>
      <c r="R26" s="578"/>
      <c r="S26" s="578"/>
      <c r="T26" s="579"/>
      <c r="W26" s="580"/>
      <c r="X26" s="580"/>
      <c r="Y26" s="580"/>
      <c r="Z26" s="580"/>
      <c r="AA26" s="580"/>
      <c r="AB26" s="580"/>
      <c r="AC26" s="580"/>
    </row>
    <row r="27" spans="1:98" ht="12" customHeight="1">
      <c r="A27" s="556" t="s">
        <v>133</v>
      </c>
      <c r="B27" s="576">
        <v>1195907900</v>
      </c>
      <c r="C27" s="576">
        <v>983724961</v>
      </c>
      <c r="D27" s="576">
        <v>1443623000</v>
      </c>
      <c r="E27" s="979">
        <v>2639530900</v>
      </c>
      <c r="F27" s="979">
        <v>2427347961</v>
      </c>
      <c r="G27" s="576">
        <v>14442784.1</v>
      </c>
      <c r="H27" s="570">
        <v>2011</v>
      </c>
      <c r="I27" s="571"/>
      <c r="J27" s="571"/>
      <c r="K27" s="571"/>
      <c r="N27" s="578"/>
      <c r="O27" s="578"/>
      <c r="P27" s="578"/>
      <c r="Q27" s="578"/>
      <c r="R27" s="578"/>
      <c r="S27" s="578"/>
      <c r="T27" s="579"/>
      <c r="W27" s="580"/>
      <c r="X27" s="580"/>
      <c r="Y27" s="580"/>
      <c r="Z27" s="580"/>
      <c r="AA27" s="580"/>
      <c r="AB27" s="580"/>
      <c r="AC27" s="580"/>
    </row>
    <row r="28" spans="1:98" s="567" customFormat="1" ht="12" customHeight="1">
      <c r="A28" s="567" t="s">
        <v>135</v>
      </c>
      <c r="B28" s="581">
        <v>405049853</v>
      </c>
      <c r="C28" s="581">
        <v>405049853</v>
      </c>
      <c r="D28" s="581">
        <v>369555200</v>
      </c>
      <c r="E28" s="980">
        <v>774605053</v>
      </c>
      <c r="F28" s="980">
        <v>774605053</v>
      </c>
      <c r="G28" s="581">
        <v>5267314.3604000006</v>
      </c>
      <c r="H28" s="570">
        <v>2011</v>
      </c>
      <c r="I28" s="571"/>
      <c r="J28" s="571"/>
      <c r="K28" s="571"/>
      <c r="L28" s="572"/>
      <c r="M28" s="572"/>
      <c r="N28" s="572"/>
      <c r="O28" s="572"/>
      <c r="P28" s="572"/>
      <c r="Q28" s="587"/>
      <c r="R28" s="587"/>
      <c r="S28" s="572"/>
      <c r="T28" s="574"/>
      <c r="U28" s="572"/>
      <c r="V28" s="572"/>
      <c r="W28" s="575"/>
      <c r="X28" s="575"/>
      <c r="Y28" s="575"/>
      <c r="Z28" s="575"/>
      <c r="AA28" s="575"/>
      <c r="AB28" s="575"/>
      <c r="AC28" s="575"/>
      <c r="AD28" s="572"/>
      <c r="AE28" s="572"/>
      <c r="AF28" s="572"/>
      <c r="AG28" s="572"/>
      <c r="AH28" s="572"/>
      <c r="AI28" s="572"/>
      <c r="AJ28" s="572"/>
      <c r="AK28" s="572"/>
      <c r="AL28" s="572"/>
      <c r="AM28" s="572"/>
      <c r="AN28" s="572"/>
      <c r="AO28" s="572"/>
      <c r="AP28" s="572"/>
      <c r="AQ28" s="572"/>
      <c r="AR28" s="572"/>
      <c r="AS28" s="572"/>
      <c r="AT28" s="572"/>
      <c r="AU28" s="572"/>
      <c r="AV28" s="572"/>
      <c r="AW28" s="572"/>
      <c r="AX28" s="572"/>
      <c r="AY28" s="572"/>
      <c r="AZ28" s="572"/>
      <c r="BA28" s="572"/>
      <c r="BB28" s="572"/>
      <c r="BC28" s="572"/>
      <c r="BD28" s="572"/>
      <c r="BE28" s="572"/>
      <c r="BF28" s="572"/>
      <c r="BG28" s="572"/>
      <c r="BH28" s="572"/>
      <c r="BI28" s="572"/>
      <c r="BJ28" s="572"/>
      <c r="BK28" s="572"/>
      <c r="BL28" s="572"/>
      <c r="BM28" s="572"/>
      <c r="BN28" s="572"/>
      <c r="BO28" s="572"/>
      <c r="BP28" s="572"/>
      <c r="BQ28" s="572"/>
      <c r="BR28" s="572"/>
      <c r="BS28" s="572"/>
      <c r="BT28" s="572"/>
      <c r="BU28" s="572"/>
      <c r="BV28" s="572"/>
      <c r="BW28" s="572"/>
      <c r="BX28" s="572"/>
      <c r="BY28" s="572"/>
      <c r="BZ28" s="572"/>
      <c r="CA28" s="572"/>
      <c r="CB28" s="572"/>
      <c r="CC28" s="572"/>
      <c r="CD28" s="572"/>
      <c r="CE28" s="572"/>
      <c r="CF28" s="572"/>
      <c r="CG28" s="572"/>
      <c r="CH28" s="572"/>
      <c r="CI28" s="572"/>
      <c r="CJ28" s="572"/>
      <c r="CK28" s="572"/>
      <c r="CL28" s="572"/>
      <c r="CM28" s="572"/>
      <c r="CN28" s="572"/>
      <c r="CO28" s="572"/>
      <c r="CP28" s="572"/>
      <c r="CQ28" s="572"/>
      <c r="CR28" s="572"/>
      <c r="CS28" s="572"/>
      <c r="CT28" s="572"/>
    </row>
    <row r="29" spans="1:98" ht="12" customHeight="1">
      <c r="A29" s="556" t="s">
        <v>137</v>
      </c>
      <c r="B29" s="576">
        <v>462020200</v>
      </c>
      <c r="C29" s="576">
        <v>462020200</v>
      </c>
      <c r="D29" s="576">
        <v>512498950</v>
      </c>
      <c r="E29" s="979">
        <v>974519150</v>
      </c>
      <c r="F29" s="979">
        <v>974519150</v>
      </c>
      <c r="G29" s="576">
        <v>4092980.4299999997</v>
      </c>
      <c r="H29" s="570" t="s">
        <v>1089</v>
      </c>
      <c r="I29" s="571"/>
      <c r="J29" s="571"/>
      <c r="K29" s="571"/>
      <c r="N29" s="578"/>
      <c r="O29" s="578"/>
      <c r="P29" s="578"/>
      <c r="Q29" s="578"/>
      <c r="R29" s="578"/>
      <c r="S29" s="578"/>
      <c r="T29" s="579"/>
      <c r="W29" s="580"/>
      <c r="X29" s="580"/>
      <c r="Y29" s="580"/>
      <c r="Z29" s="580"/>
      <c r="AA29" s="580"/>
      <c r="AB29" s="580"/>
      <c r="AC29" s="580"/>
    </row>
    <row r="30" spans="1:98" ht="9" customHeight="1">
      <c r="B30" s="576"/>
      <c r="C30" s="576"/>
      <c r="D30" s="576"/>
      <c r="E30" s="979"/>
      <c r="F30" s="979"/>
      <c r="G30" s="576"/>
      <c r="N30" s="578"/>
      <c r="O30" s="578"/>
      <c r="P30" s="578"/>
      <c r="Q30" s="578"/>
      <c r="R30" s="578"/>
      <c r="S30" s="578"/>
      <c r="T30" s="579"/>
      <c r="W30" s="580"/>
      <c r="X30" s="580"/>
      <c r="Y30" s="580"/>
      <c r="Z30" s="580"/>
      <c r="AA30" s="580"/>
      <c r="AB30" s="580"/>
      <c r="AC30" s="580"/>
    </row>
    <row r="31" spans="1:98" ht="12" customHeight="1">
      <c r="A31" s="567" t="s">
        <v>139</v>
      </c>
      <c r="B31" s="581">
        <v>8838430700</v>
      </c>
      <c r="C31" s="581">
        <v>8623210650</v>
      </c>
      <c r="D31" s="581">
        <v>21894930500</v>
      </c>
      <c r="E31" s="980">
        <v>30733361200</v>
      </c>
      <c r="F31" s="980">
        <v>30518141150</v>
      </c>
      <c r="G31" s="581">
        <v>289922340.92500001</v>
      </c>
      <c r="H31" s="570">
        <v>2011</v>
      </c>
      <c r="I31" s="571"/>
      <c r="J31" s="571"/>
      <c r="K31" s="571"/>
      <c r="N31" s="578"/>
      <c r="O31" s="578"/>
      <c r="P31" s="578"/>
      <c r="Q31" s="578"/>
      <c r="R31" s="578"/>
      <c r="S31" s="578"/>
      <c r="T31" s="579"/>
      <c r="W31" s="580"/>
      <c r="X31" s="580"/>
      <c r="Y31" s="580"/>
      <c r="Z31" s="580"/>
      <c r="AA31" s="580"/>
      <c r="AB31" s="580"/>
      <c r="AC31" s="580"/>
    </row>
    <row r="32" spans="1:98" ht="12" customHeight="1">
      <c r="A32" s="556" t="s">
        <v>141</v>
      </c>
      <c r="B32" s="576">
        <v>1365461300</v>
      </c>
      <c r="C32" s="576">
        <v>959137079</v>
      </c>
      <c r="D32" s="576">
        <v>1229991000</v>
      </c>
      <c r="E32" s="979">
        <v>2595452300</v>
      </c>
      <c r="F32" s="979">
        <v>2189128079</v>
      </c>
      <c r="G32" s="576">
        <v>13572594.0898</v>
      </c>
      <c r="H32" s="570">
        <v>2011</v>
      </c>
      <c r="I32" s="571"/>
      <c r="J32" s="571"/>
      <c r="K32" s="571"/>
      <c r="N32" s="578"/>
      <c r="O32" s="578"/>
      <c r="P32" s="578"/>
      <c r="Q32" s="578"/>
      <c r="R32" s="578"/>
      <c r="S32" s="578"/>
      <c r="T32" s="579"/>
      <c r="W32" s="580"/>
      <c r="X32" s="580"/>
      <c r="Y32" s="580"/>
      <c r="Z32" s="580"/>
      <c r="AA32" s="580"/>
      <c r="AB32" s="580"/>
      <c r="AC32" s="580"/>
    </row>
    <row r="33" spans="1:98" ht="12" customHeight="1">
      <c r="A33" s="556" t="s">
        <v>143</v>
      </c>
      <c r="B33" s="576">
        <v>195162400</v>
      </c>
      <c r="C33" s="576">
        <v>195162400</v>
      </c>
      <c r="D33" s="576">
        <v>237029400</v>
      </c>
      <c r="E33" s="979">
        <v>432191800</v>
      </c>
      <c r="F33" s="979">
        <v>432191800</v>
      </c>
      <c r="G33" s="576">
        <v>2420274.08</v>
      </c>
      <c r="H33" s="570">
        <v>2011</v>
      </c>
      <c r="I33" s="571"/>
      <c r="J33" s="571"/>
      <c r="K33" s="571"/>
      <c r="N33" s="578"/>
      <c r="O33" s="578"/>
      <c r="P33" s="578"/>
      <c r="Q33" s="578"/>
      <c r="R33" s="578"/>
      <c r="S33" s="578"/>
      <c r="T33" s="579"/>
      <c r="W33" s="580"/>
      <c r="X33" s="580"/>
      <c r="Y33" s="580"/>
      <c r="Z33" s="580"/>
      <c r="AA33" s="580"/>
      <c r="AB33" s="580"/>
      <c r="AC33" s="580"/>
    </row>
    <row r="34" spans="1:98" s="567" customFormat="1" ht="12" customHeight="1">
      <c r="A34" s="567" t="s">
        <v>145</v>
      </c>
      <c r="B34" s="581">
        <v>2240023116</v>
      </c>
      <c r="C34" s="581">
        <v>1641333616</v>
      </c>
      <c r="D34" s="581">
        <v>2437442000</v>
      </c>
      <c r="E34" s="980">
        <v>4677465116</v>
      </c>
      <c r="F34" s="980">
        <v>4078775616</v>
      </c>
      <c r="G34" s="581">
        <v>30182939.558399998</v>
      </c>
      <c r="H34" s="570">
        <v>2011</v>
      </c>
      <c r="I34" s="571"/>
      <c r="J34" s="571"/>
      <c r="K34" s="571"/>
      <c r="L34" s="572"/>
      <c r="M34" s="572"/>
      <c r="N34" s="583"/>
      <c r="O34" s="583"/>
      <c r="P34" s="583"/>
      <c r="Q34" s="583"/>
      <c r="R34" s="583"/>
      <c r="S34" s="583"/>
      <c r="T34" s="574"/>
      <c r="U34" s="572"/>
      <c r="V34" s="572"/>
      <c r="W34" s="575"/>
      <c r="X34" s="575"/>
      <c r="Y34" s="575"/>
      <c r="Z34" s="575"/>
      <c r="AA34" s="575"/>
      <c r="AB34" s="575"/>
      <c r="AC34" s="575"/>
      <c r="AD34" s="572"/>
      <c r="AE34" s="572"/>
      <c r="AF34" s="572"/>
      <c r="AG34" s="572"/>
      <c r="AH34" s="572"/>
      <c r="AI34" s="572"/>
      <c r="AJ34" s="572"/>
      <c r="AK34" s="572"/>
      <c r="AL34" s="572"/>
      <c r="AM34" s="572"/>
      <c r="AN34" s="572"/>
      <c r="AO34" s="572"/>
      <c r="AP34" s="572"/>
      <c r="AQ34" s="572"/>
      <c r="AR34" s="572"/>
      <c r="AS34" s="572"/>
      <c r="AT34" s="572"/>
      <c r="AU34" s="572"/>
      <c r="AV34" s="572"/>
      <c r="AW34" s="572"/>
      <c r="AX34" s="572"/>
      <c r="AY34" s="572"/>
      <c r="AZ34" s="572"/>
      <c r="BA34" s="572"/>
      <c r="BB34" s="572"/>
      <c r="BC34" s="572"/>
      <c r="BD34" s="572"/>
      <c r="BE34" s="572"/>
      <c r="BF34" s="572"/>
      <c r="BG34" s="572"/>
      <c r="BH34" s="572"/>
      <c r="BI34" s="572"/>
      <c r="BJ34" s="572"/>
      <c r="BK34" s="572"/>
      <c r="BL34" s="572"/>
      <c r="BM34" s="572"/>
      <c r="BN34" s="572"/>
      <c r="BO34" s="572"/>
      <c r="BP34" s="572"/>
      <c r="BQ34" s="572"/>
      <c r="BR34" s="572"/>
      <c r="BS34" s="572"/>
      <c r="BT34" s="572"/>
      <c r="BU34" s="572"/>
      <c r="BV34" s="572"/>
      <c r="BW34" s="572"/>
      <c r="BX34" s="572"/>
      <c r="BY34" s="572"/>
      <c r="BZ34" s="572"/>
      <c r="CA34" s="572"/>
      <c r="CB34" s="572"/>
      <c r="CC34" s="572"/>
      <c r="CD34" s="572"/>
      <c r="CE34" s="572"/>
      <c r="CF34" s="572"/>
      <c r="CG34" s="572"/>
      <c r="CH34" s="572"/>
      <c r="CI34" s="572"/>
      <c r="CJ34" s="572"/>
      <c r="CK34" s="572"/>
      <c r="CL34" s="572"/>
      <c r="CM34" s="572"/>
      <c r="CN34" s="572"/>
      <c r="CO34" s="572"/>
      <c r="CP34" s="572"/>
      <c r="CQ34" s="572"/>
      <c r="CR34" s="572"/>
      <c r="CS34" s="572"/>
      <c r="CT34" s="572"/>
    </row>
    <row r="35" spans="1:98" ht="12" customHeight="1">
      <c r="A35" s="556" t="s">
        <v>147</v>
      </c>
      <c r="B35" s="576">
        <v>439929500</v>
      </c>
      <c r="C35" s="576">
        <v>353983855</v>
      </c>
      <c r="D35" s="576">
        <v>499517508</v>
      </c>
      <c r="E35" s="979">
        <v>939447008</v>
      </c>
      <c r="F35" s="979">
        <v>853501363</v>
      </c>
      <c r="G35" s="576">
        <v>5803809.2684000013</v>
      </c>
      <c r="H35" s="570">
        <v>2011</v>
      </c>
      <c r="I35" s="571"/>
      <c r="J35" s="571"/>
      <c r="K35" s="571"/>
      <c r="N35" s="578"/>
      <c r="O35" s="578"/>
      <c r="P35" s="578"/>
      <c r="Q35" s="578"/>
      <c r="R35" s="578"/>
      <c r="S35" s="578"/>
      <c r="T35" s="579"/>
      <c r="W35" s="580"/>
      <c r="X35" s="580"/>
      <c r="Y35" s="580"/>
      <c r="Z35" s="580"/>
      <c r="AA35" s="580"/>
      <c r="AB35" s="580"/>
      <c r="AC35" s="580"/>
    </row>
    <row r="36" spans="1:98" ht="9" customHeight="1">
      <c r="B36" s="576"/>
      <c r="C36" s="576"/>
      <c r="D36" s="576"/>
      <c r="E36" s="979"/>
      <c r="F36" s="979"/>
      <c r="G36" s="576"/>
      <c r="N36" s="578"/>
      <c r="O36" s="578"/>
      <c r="P36" s="578"/>
      <c r="Q36" s="578"/>
      <c r="R36" s="578"/>
      <c r="S36" s="578"/>
      <c r="T36" s="579"/>
      <c r="W36" s="580"/>
      <c r="X36" s="580"/>
      <c r="Y36" s="580"/>
      <c r="Z36" s="580"/>
      <c r="AA36" s="580"/>
      <c r="AB36" s="580"/>
      <c r="AC36" s="580"/>
    </row>
    <row r="37" spans="1:98" s="567" customFormat="1" ht="12" customHeight="1">
      <c r="A37" s="567" t="s">
        <v>149</v>
      </c>
      <c r="B37" s="581">
        <v>380382869</v>
      </c>
      <c r="C37" s="581">
        <v>380382869</v>
      </c>
      <c r="D37" s="581">
        <v>952908100</v>
      </c>
      <c r="E37" s="980">
        <v>1333290969</v>
      </c>
      <c r="F37" s="980">
        <v>1333290969</v>
      </c>
      <c r="G37" s="581">
        <v>7999745.8139999993</v>
      </c>
      <c r="H37" s="570">
        <v>2011</v>
      </c>
      <c r="I37" s="571"/>
      <c r="J37" s="571"/>
      <c r="K37" s="571"/>
      <c r="L37" s="572"/>
      <c r="M37" s="572"/>
      <c r="N37" s="583"/>
      <c r="O37" s="583"/>
      <c r="P37" s="583"/>
      <c r="Q37" s="583"/>
      <c r="R37" s="583"/>
      <c r="S37" s="583"/>
      <c r="T37" s="574"/>
      <c r="U37" s="572"/>
      <c r="V37" s="572"/>
      <c r="W37" s="575"/>
      <c r="X37" s="575"/>
      <c r="Y37" s="575"/>
      <c r="Z37" s="575"/>
      <c r="AA37" s="575"/>
      <c r="AB37" s="575"/>
      <c r="AC37" s="575"/>
      <c r="AD37" s="572"/>
      <c r="AE37" s="572"/>
      <c r="AF37" s="572"/>
      <c r="AG37" s="572"/>
      <c r="AH37" s="572"/>
      <c r="AI37" s="572"/>
      <c r="AJ37" s="572"/>
      <c r="AK37" s="572"/>
      <c r="AL37" s="572"/>
      <c r="AM37" s="572"/>
      <c r="AN37" s="572"/>
      <c r="AO37" s="572"/>
      <c r="AP37" s="572"/>
      <c r="AQ37" s="572"/>
      <c r="AR37" s="572"/>
      <c r="AS37" s="572"/>
      <c r="AT37" s="572"/>
      <c r="AU37" s="572"/>
      <c r="AV37" s="572"/>
      <c r="AW37" s="572"/>
      <c r="AX37" s="572"/>
      <c r="AY37" s="572"/>
      <c r="AZ37" s="572"/>
      <c r="BA37" s="572"/>
      <c r="BB37" s="572"/>
      <c r="BC37" s="572"/>
      <c r="BD37" s="572"/>
      <c r="BE37" s="572"/>
      <c r="BF37" s="572"/>
      <c r="BG37" s="572"/>
      <c r="BH37" s="572"/>
      <c r="BI37" s="572"/>
      <c r="BJ37" s="572"/>
      <c r="BK37" s="572"/>
      <c r="BL37" s="572"/>
      <c r="BM37" s="572"/>
      <c r="BN37" s="572"/>
      <c r="BO37" s="572"/>
      <c r="BP37" s="572"/>
      <c r="BQ37" s="572"/>
      <c r="BR37" s="572"/>
      <c r="BS37" s="572"/>
      <c r="BT37" s="572"/>
      <c r="BU37" s="572"/>
      <c r="BV37" s="572"/>
      <c r="BW37" s="572"/>
      <c r="BX37" s="572"/>
      <c r="BY37" s="572"/>
      <c r="BZ37" s="572"/>
      <c r="CA37" s="572"/>
      <c r="CB37" s="572"/>
      <c r="CC37" s="572"/>
      <c r="CD37" s="572"/>
      <c r="CE37" s="572"/>
      <c r="CF37" s="572"/>
      <c r="CG37" s="572"/>
      <c r="CH37" s="572"/>
      <c r="CI37" s="572"/>
      <c r="CJ37" s="572"/>
      <c r="CK37" s="572"/>
      <c r="CL37" s="572"/>
      <c r="CM37" s="572"/>
      <c r="CN37" s="572"/>
      <c r="CO37" s="572"/>
      <c r="CP37" s="572"/>
      <c r="CQ37" s="572"/>
      <c r="CR37" s="572"/>
      <c r="CS37" s="572"/>
      <c r="CT37" s="572"/>
    </row>
    <row r="38" spans="1:98" s="567" customFormat="1" ht="12" customHeight="1">
      <c r="A38" s="567" t="s">
        <v>151</v>
      </c>
      <c r="B38" s="581">
        <v>1142533393</v>
      </c>
      <c r="C38" s="581">
        <v>752562053</v>
      </c>
      <c r="D38" s="581">
        <v>1551928300</v>
      </c>
      <c r="E38" s="980">
        <v>2694461693</v>
      </c>
      <c r="F38" s="980">
        <v>2304490353</v>
      </c>
      <c r="G38" s="581">
        <v>16592330.5416</v>
      </c>
      <c r="H38" s="570">
        <v>2011</v>
      </c>
      <c r="I38" s="571"/>
      <c r="J38" s="571"/>
      <c r="K38" s="571"/>
      <c r="L38" s="572"/>
      <c r="M38" s="572"/>
      <c r="N38" s="583"/>
      <c r="O38" s="583"/>
      <c r="P38" s="583"/>
      <c r="Q38" s="583"/>
      <c r="R38" s="583"/>
      <c r="S38" s="583"/>
      <c r="T38" s="574"/>
      <c r="U38" s="572"/>
      <c r="V38" s="572"/>
      <c r="W38" s="575"/>
      <c r="X38" s="575"/>
      <c r="Y38" s="575"/>
      <c r="Z38" s="575"/>
      <c r="AA38" s="575"/>
      <c r="AB38" s="575"/>
      <c r="AC38" s="575"/>
      <c r="AD38" s="572"/>
      <c r="AE38" s="572"/>
      <c r="AF38" s="572"/>
      <c r="AG38" s="572"/>
      <c r="AH38" s="572"/>
      <c r="AI38" s="572"/>
      <c r="AJ38" s="572"/>
      <c r="AK38" s="572"/>
      <c r="AL38" s="572"/>
      <c r="AM38" s="572"/>
      <c r="AN38" s="572"/>
      <c r="AO38" s="572"/>
      <c r="AP38" s="572"/>
      <c r="AQ38" s="572"/>
      <c r="AR38" s="572"/>
      <c r="AS38" s="572"/>
      <c r="AT38" s="572"/>
      <c r="AU38" s="572"/>
      <c r="AV38" s="572"/>
      <c r="AW38" s="572"/>
      <c r="AX38" s="572"/>
      <c r="AY38" s="572"/>
      <c r="AZ38" s="572"/>
      <c r="BA38" s="572"/>
      <c r="BB38" s="572"/>
      <c r="BC38" s="572"/>
      <c r="BD38" s="572"/>
      <c r="BE38" s="572"/>
      <c r="BF38" s="572"/>
      <c r="BG38" s="572"/>
      <c r="BH38" s="572"/>
      <c r="BI38" s="572"/>
      <c r="BJ38" s="572"/>
      <c r="BK38" s="572"/>
      <c r="BL38" s="572"/>
      <c r="BM38" s="572"/>
      <c r="BN38" s="572"/>
      <c r="BO38" s="572"/>
      <c r="BP38" s="572"/>
      <c r="BQ38" s="572"/>
      <c r="BR38" s="572"/>
      <c r="BS38" s="572"/>
      <c r="BT38" s="572"/>
      <c r="BU38" s="572"/>
      <c r="BV38" s="572"/>
      <c r="BW38" s="572"/>
      <c r="BX38" s="572"/>
      <c r="BY38" s="572"/>
      <c r="BZ38" s="572"/>
      <c r="CA38" s="572"/>
      <c r="CB38" s="572"/>
      <c r="CC38" s="572"/>
      <c r="CD38" s="572"/>
      <c r="CE38" s="572"/>
      <c r="CF38" s="572"/>
      <c r="CG38" s="572"/>
      <c r="CH38" s="572"/>
      <c r="CI38" s="572"/>
      <c r="CJ38" s="572"/>
      <c r="CK38" s="572"/>
      <c r="CL38" s="572"/>
      <c r="CM38" s="572"/>
      <c r="CN38" s="572"/>
      <c r="CO38" s="572"/>
      <c r="CP38" s="572"/>
      <c r="CQ38" s="572"/>
      <c r="CR38" s="572"/>
      <c r="CS38" s="572"/>
      <c r="CT38" s="572"/>
    </row>
    <row r="39" spans="1:98" ht="12" customHeight="1">
      <c r="A39" s="556" t="s">
        <v>153</v>
      </c>
      <c r="B39" s="576">
        <v>896234908</v>
      </c>
      <c r="C39" s="576">
        <v>722834550</v>
      </c>
      <c r="D39" s="576">
        <v>778717966</v>
      </c>
      <c r="E39" s="979">
        <v>1674952874</v>
      </c>
      <c r="F39" s="979">
        <v>1501552516</v>
      </c>
      <c r="G39" s="576">
        <v>9084456.4000000004</v>
      </c>
      <c r="H39" s="570">
        <v>2011</v>
      </c>
      <c r="I39" s="571"/>
      <c r="J39" s="571"/>
      <c r="K39" s="571"/>
      <c r="Q39" s="584"/>
      <c r="R39" s="584"/>
      <c r="T39" s="579"/>
      <c r="W39" s="580"/>
      <c r="X39" s="580"/>
      <c r="Y39" s="580"/>
      <c r="Z39" s="580"/>
      <c r="AA39" s="580"/>
      <c r="AB39" s="580"/>
      <c r="AC39" s="580"/>
    </row>
    <row r="40" spans="1:98" s="567" customFormat="1" ht="11.25" customHeight="1">
      <c r="A40" s="567" t="s">
        <v>155</v>
      </c>
      <c r="B40" s="581">
        <v>71841127050</v>
      </c>
      <c r="C40" s="581">
        <v>71688998460</v>
      </c>
      <c r="D40" s="581">
        <v>122229875540</v>
      </c>
      <c r="E40" s="980">
        <v>194071002590</v>
      </c>
      <c r="F40" s="980">
        <v>193918874000</v>
      </c>
      <c r="G40" s="581">
        <v>2074931951.8000002</v>
      </c>
      <c r="H40" s="570">
        <v>2011</v>
      </c>
      <c r="I40" s="571"/>
      <c r="J40" s="571"/>
      <c r="K40" s="571"/>
      <c r="L40" s="572"/>
      <c r="M40" s="572"/>
      <c r="N40" s="583"/>
      <c r="O40" s="583"/>
      <c r="P40" s="583"/>
      <c r="Q40" s="583"/>
      <c r="R40" s="583"/>
      <c r="S40" s="583"/>
      <c r="T40" s="574"/>
      <c r="U40" s="572"/>
      <c r="V40" s="572"/>
      <c r="W40" s="575"/>
      <c r="X40" s="575"/>
      <c r="Y40" s="575"/>
      <c r="Z40" s="575"/>
      <c r="AA40" s="575"/>
      <c r="AB40" s="575"/>
      <c r="AC40" s="575"/>
      <c r="AD40" s="572"/>
      <c r="AE40" s="572"/>
      <c r="AF40" s="572"/>
      <c r="AG40" s="572"/>
      <c r="AH40" s="572"/>
      <c r="AI40" s="572"/>
      <c r="AJ40" s="572"/>
      <c r="AK40" s="572"/>
      <c r="AL40" s="572"/>
      <c r="AM40" s="572"/>
      <c r="AN40" s="572"/>
      <c r="AO40" s="572"/>
      <c r="AP40" s="572"/>
      <c r="AQ40" s="572"/>
      <c r="AR40" s="572"/>
      <c r="AS40" s="572"/>
      <c r="AT40" s="572"/>
      <c r="AU40" s="572"/>
      <c r="AV40" s="572"/>
      <c r="AW40" s="572"/>
      <c r="AX40" s="572"/>
      <c r="AY40" s="572"/>
      <c r="AZ40" s="572"/>
      <c r="BA40" s="572"/>
      <c r="BB40" s="572"/>
      <c r="BC40" s="572"/>
      <c r="BD40" s="572"/>
      <c r="BE40" s="572"/>
      <c r="BF40" s="572"/>
      <c r="BG40" s="572"/>
      <c r="BH40" s="572"/>
      <c r="BI40" s="572"/>
      <c r="BJ40" s="572"/>
      <c r="BK40" s="572"/>
      <c r="BL40" s="572"/>
      <c r="BM40" s="572"/>
      <c r="BN40" s="572"/>
      <c r="BO40" s="572"/>
      <c r="BP40" s="572"/>
      <c r="BQ40" s="572"/>
      <c r="BR40" s="572"/>
      <c r="BS40" s="572"/>
      <c r="BT40" s="572"/>
      <c r="BU40" s="572"/>
      <c r="BV40" s="572"/>
      <c r="BW40" s="572"/>
      <c r="BX40" s="572"/>
      <c r="BY40" s="572"/>
      <c r="BZ40" s="572"/>
      <c r="CA40" s="572"/>
      <c r="CB40" s="572"/>
      <c r="CC40" s="572"/>
      <c r="CD40" s="572"/>
      <c r="CE40" s="572"/>
      <c r="CF40" s="572"/>
      <c r="CG40" s="572"/>
      <c r="CH40" s="572"/>
      <c r="CI40" s="572"/>
      <c r="CJ40" s="572"/>
      <c r="CK40" s="572"/>
      <c r="CL40" s="572"/>
      <c r="CM40" s="572"/>
      <c r="CN40" s="572"/>
      <c r="CO40" s="572"/>
      <c r="CP40" s="572"/>
      <c r="CQ40" s="572"/>
      <c r="CR40" s="572"/>
      <c r="CS40" s="572"/>
      <c r="CT40" s="572"/>
    </row>
    <row r="41" spans="1:98" s="567" customFormat="1" ht="12" customHeight="1">
      <c r="A41" s="567" t="s">
        <v>157</v>
      </c>
      <c r="B41" s="581">
        <v>6310435300</v>
      </c>
      <c r="C41" s="581">
        <v>4471583100</v>
      </c>
      <c r="D41" s="581">
        <v>5126553200</v>
      </c>
      <c r="E41" s="980">
        <v>11436988500</v>
      </c>
      <c r="F41" s="980">
        <v>9598136300</v>
      </c>
      <c r="G41" s="581">
        <v>93101922.109999999</v>
      </c>
      <c r="H41" s="570">
        <v>2011</v>
      </c>
      <c r="I41" s="571"/>
      <c r="J41" s="571"/>
      <c r="K41" s="571"/>
      <c r="L41" s="572"/>
      <c r="M41" s="572"/>
      <c r="N41" s="583"/>
      <c r="O41" s="583"/>
      <c r="P41" s="583"/>
      <c r="Q41" s="583"/>
      <c r="R41" s="583"/>
      <c r="S41" s="583"/>
      <c r="T41" s="574"/>
      <c r="U41" s="572"/>
      <c r="V41" s="572"/>
      <c r="W41" s="575"/>
      <c r="X41" s="575"/>
      <c r="Y41" s="575"/>
      <c r="Z41" s="575"/>
      <c r="AA41" s="575"/>
      <c r="AB41" s="575"/>
      <c r="AC41" s="575"/>
      <c r="AD41" s="572"/>
      <c r="AE41" s="572"/>
      <c r="AF41" s="572"/>
      <c r="AG41" s="572"/>
      <c r="AH41" s="572"/>
      <c r="AI41" s="572"/>
      <c r="AJ41" s="572"/>
      <c r="AK41" s="572"/>
      <c r="AL41" s="572"/>
      <c r="AM41" s="572"/>
      <c r="AN41" s="572"/>
      <c r="AO41" s="572"/>
      <c r="AP41" s="572"/>
      <c r="AQ41" s="572"/>
      <c r="AR41" s="572"/>
      <c r="AS41" s="572"/>
      <c r="AT41" s="572"/>
      <c r="AU41" s="572"/>
      <c r="AV41" s="572"/>
      <c r="AW41" s="572"/>
      <c r="AX41" s="572"/>
      <c r="AY41" s="572"/>
      <c r="AZ41" s="572"/>
      <c r="BA41" s="572"/>
      <c r="BB41" s="572"/>
      <c r="BC41" s="572"/>
      <c r="BD41" s="572"/>
      <c r="BE41" s="572"/>
      <c r="BF41" s="572"/>
      <c r="BG41" s="572"/>
      <c r="BH41" s="572"/>
      <c r="BI41" s="572"/>
      <c r="BJ41" s="572"/>
      <c r="BK41" s="572"/>
      <c r="BL41" s="572"/>
      <c r="BM41" s="572"/>
      <c r="BN41" s="572"/>
      <c r="BO41" s="572"/>
      <c r="BP41" s="572"/>
      <c r="BQ41" s="572"/>
      <c r="BR41" s="572"/>
      <c r="BS41" s="572"/>
      <c r="BT41" s="572"/>
      <c r="BU41" s="572"/>
      <c r="BV41" s="572"/>
      <c r="BW41" s="572"/>
      <c r="BX41" s="572"/>
      <c r="BY41" s="572"/>
      <c r="BZ41" s="572"/>
      <c r="CA41" s="572"/>
      <c r="CB41" s="572"/>
      <c r="CC41" s="572"/>
      <c r="CD41" s="572"/>
      <c r="CE41" s="572"/>
      <c r="CF41" s="572"/>
      <c r="CG41" s="572"/>
      <c r="CH41" s="572"/>
      <c r="CI41" s="572"/>
      <c r="CJ41" s="572"/>
      <c r="CK41" s="572"/>
      <c r="CL41" s="572"/>
      <c r="CM41" s="572"/>
      <c r="CN41" s="572"/>
      <c r="CO41" s="572"/>
      <c r="CP41" s="572"/>
      <c r="CQ41" s="572"/>
      <c r="CR41" s="572"/>
      <c r="CS41" s="572"/>
      <c r="CT41" s="572"/>
    </row>
    <row r="42" spans="1:98" ht="15">
      <c r="A42" s="555" t="s">
        <v>997</v>
      </c>
      <c r="N42" s="578"/>
      <c r="O42" s="578"/>
      <c r="P42" s="578"/>
      <c r="Q42" s="578"/>
      <c r="R42" s="578"/>
      <c r="S42" s="578"/>
      <c r="T42" s="579"/>
      <c r="W42" s="580"/>
      <c r="X42" s="580"/>
      <c r="Y42" s="580"/>
      <c r="Z42" s="580"/>
      <c r="AA42" s="580"/>
      <c r="AB42" s="580"/>
      <c r="AC42" s="580"/>
    </row>
    <row r="43" spans="1:98" ht="12.75">
      <c r="A43" s="1082" t="s">
        <v>1068</v>
      </c>
      <c r="B43" s="1083"/>
      <c r="C43" s="1083"/>
      <c r="D43" s="1083"/>
      <c r="E43" s="1083"/>
      <c r="F43" s="1083"/>
      <c r="G43" s="1083"/>
      <c r="H43" s="1083"/>
      <c r="N43" s="578"/>
      <c r="O43" s="578"/>
      <c r="P43" s="578"/>
      <c r="Q43" s="578"/>
      <c r="R43" s="578"/>
      <c r="S43" s="578"/>
      <c r="T43" s="579"/>
      <c r="W43" s="580"/>
      <c r="X43" s="580"/>
      <c r="Y43" s="580"/>
      <c r="Z43" s="580"/>
      <c r="AA43" s="580"/>
      <c r="AB43" s="580"/>
      <c r="AC43" s="580"/>
    </row>
    <row r="44" spans="1:98" ht="12.75" thickBot="1">
      <c r="A44" s="562"/>
      <c r="B44" s="562"/>
      <c r="C44" s="562"/>
      <c r="D44" s="562"/>
      <c r="E44" s="562"/>
      <c r="F44" s="562"/>
      <c r="G44" s="562"/>
      <c r="H44" s="562"/>
      <c r="N44" s="578"/>
      <c r="O44" s="578"/>
      <c r="P44" s="578"/>
      <c r="Q44" s="578"/>
      <c r="R44" s="578"/>
      <c r="S44" s="578"/>
      <c r="T44" s="579"/>
      <c r="W44" s="580"/>
      <c r="X44" s="580"/>
      <c r="Y44" s="580"/>
      <c r="Z44" s="580"/>
      <c r="AA44" s="580"/>
      <c r="AB44" s="580"/>
      <c r="AC44" s="580"/>
    </row>
    <row r="45" spans="1:98">
      <c r="N45" s="578"/>
      <c r="O45" s="578"/>
      <c r="P45" s="578"/>
      <c r="Q45" s="578"/>
      <c r="R45" s="578"/>
      <c r="S45" s="578"/>
      <c r="T45" s="579"/>
      <c r="W45" s="580"/>
      <c r="X45" s="580"/>
      <c r="Y45" s="580"/>
      <c r="Z45" s="580"/>
      <c r="AA45" s="580"/>
      <c r="AB45" s="580"/>
      <c r="AC45" s="580"/>
    </row>
    <row r="46" spans="1:98">
      <c r="A46" s="563" t="s">
        <v>33</v>
      </c>
      <c r="B46" s="563" t="s">
        <v>934</v>
      </c>
      <c r="C46" s="563" t="s">
        <v>935</v>
      </c>
      <c r="D46" s="563" t="s">
        <v>936</v>
      </c>
      <c r="E46" s="563" t="s">
        <v>937</v>
      </c>
      <c r="F46" s="563" t="s">
        <v>938</v>
      </c>
      <c r="G46" s="563" t="s">
        <v>939</v>
      </c>
      <c r="H46" s="564" t="s">
        <v>940</v>
      </c>
      <c r="N46" s="578"/>
      <c r="O46" s="578"/>
      <c r="P46" s="578"/>
      <c r="Q46" s="578"/>
      <c r="R46" s="578"/>
      <c r="S46" s="578"/>
      <c r="T46" s="579"/>
      <c r="W46" s="580"/>
      <c r="X46" s="580"/>
      <c r="Y46" s="580"/>
      <c r="Z46" s="580"/>
      <c r="AA46" s="580"/>
      <c r="AB46" s="580"/>
      <c r="AC46" s="580"/>
    </row>
    <row r="47" spans="1:98" ht="8.25" customHeight="1">
      <c r="B47" s="576"/>
      <c r="C47" s="576"/>
      <c r="D47" s="576"/>
      <c r="E47" s="577"/>
      <c r="F47" s="577"/>
      <c r="G47" s="576"/>
      <c r="N47" s="578"/>
      <c r="O47" s="578"/>
      <c r="P47" s="578"/>
      <c r="Q47" s="578"/>
      <c r="R47" s="578"/>
      <c r="S47" s="578"/>
      <c r="T47" s="579"/>
      <c r="W47" s="580"/>
      <c r="X47" s="580"/>
      <c r="Y47" s="580"/>
      <c r="Z47" s="580"/>
      <c r="AA47" s="580"/>
      <c r="AB47" s="580"/>
      <c r="AC47" s="580"/>
    </row>
    <row r="48" spans="1:98" ht="12" customHeight="1">
      <c r="A48" s="556" t="s">
        <v>159</v>
      </c>
      <c r="B48" s="588">
        <v>906398600</v>
      </c>
      <c r="C48" s="588">
        <v>728597300</v>
      </c>
      <c r="D48" s="588">
        <v>778665500</v>
      </c>
      <c r="E48" s="983">
        <v>1685064100</v>
      </c>
      <c r="F48" s="983">
        <v>1507262800</v>
      </c>
      <c r="G48" s="588">
        <v>7536314</v>
      </c>
      <c r="H48" s="570">
        <v>2011</v>
      </c>
      <c r="I48" s="571"/>
      <c r="J48" s="571"/>
      <c r="K48" s="571"/>
      <c r="N48" s="578"/>
      <c r="O48" s="578"/>
      <c r="P48" s="578"/>
      <c r="Q48" s="578"/>
      <c r="R48" s="578"/>
      <c r="S48" s="578"/>
      <c r="T48" s="579"/>
      <c r="W48" s="580"/>
      <c r="X48" s="580"/>
      <c r="Y48" s="580"/>
      <c r="Z48" s="580"/>
      <c r="AA48" s="580"/>
      <c r="AB48" s="580"/>
      <c r="AC48" s="580"/>
    </row>
    <row r="49" spans="1:98" ht="12" customHeight="1">
      <c r="A49" s="556" t="s">
        <v>161</v>
      </c>
      <c r="B49" s="576">
        <v>1739047500</v>
      </c>
      <c r="C49" s="576">
        <v>1352170100</v>
      </c>
      <c r="D49" s="576">
        <v>1760617000</v>
      </c>
      <c r="E49" s="979">
        <v>3499664500</v>
      </c>
      <c r="F49" s="979">
        <v>3112787100</v>
      </c>
      <c r="G49" s="576">
        <v>17742886.469999999</v>
      </c>
      <c r="H49" s="570">
        <v>2011</v>
      </c>
      <c r="I49" s="571"/>
      <c r="J49" s="571"/>
      <c r="K49" s="571"/>
      <c r="N49" s="578"/>
      <c r="O49" s="578"/>
      <c r="P49" s="578"/>
      <c r="Q49" s="578"/>
      <c r="R49" s="578"/>
      <c r="S49" s="578"/>
      <c r="T49" s="579"/>
      <c r="W49" s="580"/>
      <c r="X49" s="580"/>
      <c r="Y49" s="580"/>
      <c r="Z49" s="580"/>
      <c r="AA49" s="580"/>
      <c r="AB49" s="580"/>
      <c r="AC49" s="580"/>
    </row>
    <row r="50" spans="1:98" ht="12" customHeight="1">
      <c r="A50" s="556" t="s">
        <v>36</v>
      </c>
      <c r="B50" s="576">
        <v>3912451600</v>
      </c>
      <c r="C50" s="576">
        <v>3431161826</v>
      </c>
      <c r="D50" s="576">
        <v>4236641100</v>
      </c>
      <c r="E50" s="979">
        <v>8149092700</v>
      </c>
      <c r="F50" s="979">
        <v>7667802926</v>
      </c>
      <c r="G50" s="576">
        <v>36805454.044799998</v>
      </c>
      <c r="H50" s="570">
        <v>2011</v>
      </c>
      <c r="I50" s="571"/>
      <c r="J50" s="571"/>
      <c r="K50" s="571"/>
      <c r="N50" s="578"/>
      <c r="O50" s="578"/>
      <c r="P50" s="578"/>
      <c r="Q50" s="578"/>
      <c r="R50" s="578"/>
      <c r="S50" s="578"/>
      <c r="T50" s="579"/>
      <c r="W50" s="580"/>
      <c r="X50" s="580"/>
      <c r="Y50" s="580"/>
      <c r="Z50" s="580"/>
      <c r="AA50" s="580"/>
      <c r="AB50" s="580"/>
      <c r="AC50" s="580"/>
    </row>
    <row r="51" spans="1:98" ht="12" customHeight="1">
      <c r="A51" s="556" t="s">
        <v>164</v>
      </c>
      <c r="B51" s="576">
        <v>3265382300</v>
      </c>
      <c r="C51" s="576">
        <v>2799581887</v>
      </c>
      <c r="D51" s="576">
        <v>4758945400</v>
      </c>
      <c r="E51" s="979">
        <v>8024327700</v>
      </c>
      <c r="F51" s="979">
        <v>7558527287</v>
      </c>
      <c r="G51" s="576">
        <v>41178485.904150009</v>
      </c>
      <c r="H51" s="570">
        <v>2011</v>
      </c>
      <c r="I51" s="571"/>
      <c r="J51" s="571"/>
      <c r="K51" s="571"/>
      <c r="N51" s="578"/>
      <c r="O51" s="578"/>
      <c r="P51" s="578"/>
      <c r="Q51" s="578"/>
      <c r="R51" s="578"/>
      <c r="S51" s="578"/>
      <c r="T51" s="579"/>
      <c r="W51" s="580"/>
      <c r="X51" s="580"/>
      <c r="Y51" s="580"/>
      <c r="Z51" s="580"/>
      <c r="AA51" s="580"/>
      <c r="AB51" s="580"/>
      <c r="AC51" s="580"/>
    </row>
    <row r="52" spans="1:98" s="567" customFormat="1" ht="12" customHeight="1">
      <c r="A52" s="567" t="s">
        <v>166</v>
      </c>
      <c r="B52" s="581">
        <v>446713100</v>
      </c>
      <c r="C52" s="581">
        <v>313330500</v>
      </c>
      <c r="D52" s="581">
        <v>741342900</v>
      </c>
      <c r="E52" s="980">
        <v>1188056000</v>
      </c>
      <c r="F52" s="980">
        <v>1054673400</v>
      </c>
      <c r="G52" s="581">
        <v>5695236.3600000003</v>
      </c>
      <c r="H52" s="570">
        <v>2011</v>
      </c>
      <c r="I52" s="571"/>
      <c r="J52" s="571"/>
      <c r="K52" s="571"/>
      <c r="L52" s="572"/>
      <c r="M52" s="572"/>
      <c r="N52" s="583"/>
      <c r="O52" s="583"/>
      <c r="P52" s="583"/>
      <c r="Q52" s="583"/>
      <c r="R52" s="583"/>
      <c r="S52" s="583"/>
      <c r="T52" s="574"/>
      <c r="U52" s="572"/>
      <c r="V52" s="572"/>
      <c r="W52" s="575"/>
      <c r="X52" s="575"/>
      <c r="Y52" s="575"/>
      <c r="Z52" s="575"/>
      <c r="AA52" s="575"/>
      <c r="AB52" s="575"/>
      <c r="AC52" s="575"/>
      <c r="AD52" s="572"/>
      <c r="AE52" s="572"/>
      <c r="AF52" s="572"/>
      <c r="AG52" s="572"/>
      <c r="AH52" s="572"/>
      <c r="AI52" s="572"/>
      <c r="AJ52" s="572"/>
      <c r="AK52" s="572"/>
      <c r="AL52" s="572"/>
      <c r="AM52" s="572"/>
      <c r="AN52" s="572"/>
      <c r="AO52" s="572"/>
      <c r="AP52" s="572"/>
      <c r="AQ52" s="572"/>
      <c r="AR52" s="572"/>
      <c r="AS52" s="572"/>
      <c r="AT52" s="572"/>
      <c r="AU52" s="572"/>
      <c r="AV52" s="572"/>
      <c r="AW52" s="572"/>
      <c r="AX52" s="572"/>
      <c r="AY52" s="572"/>
      <c r="AZ52" s="572"/>
      <c r="BA52" s="572"/>
      <c r="BB52" s="572"/>
      <c r="BC52" s="572"/>
      <c r="BD52" s="572"/>
      <c r="BE52" s="572"/>
      <c r="BF52" s="572"/>
      <c r="BG52" s="572"/>
      <c r="BH52" s="572"/>
      <c r="BI52" s="572"/>
      <c r="BJ52" s="572"/>
      <c r="BK52" s="572"/>
      <c r="BL52" s="572"/>
      <c r="BM52" s="572"/>
      <c r="BN52" s="572"/>
      <c r="BO52" s="572"/>
      <c r="BP52" s="572"/>
      <c r="BQ52" s="572"/>
      <c r="BR52" s="572"/>
      <c r="BS52" s="572"/>
      <c r="BT52" s="572"/>
      <c r="BU52" s="572"/>
      <c r="BV52" s="572"/>
      <c r="BW52" s="572"/>
      <c r="BX52" s="572"/>
      <c r="BY52" s="572"/>
      <c r="BZ52" s="572"/>
      <c r="CA52" s="572"/>
      <c r="CB52" s="572"/>
      <c r="CC52" s="572"/>
      <c r="CD52" s="572"/>
      <c r="CE52" s="572"/>
      <c r="CF52" s="572"/>
      <c r="CG52" s="572"/>
      <c r="CH52" s="572"/>
      <c r="CI52" s="572"/>
      <c r="CJ52" s="572"/>
      <c r="CK52" s="572"/>
      <c r="CL52" s="572"/>
      <c r="CM52" s="572"/>
      <c r="CN52" s="572"/>
      <c r="CO52" s="572"/>
      <c r="CP52" s="572"/>
      <c r="CQ52" s="572"/>
      <c r="CR52" s="572"/>
      <c r="CS52" s="572"/>
      <c r="CT52" s="572"/>
    </row>
    <row r="53" spans="1:98" ht="9" customHeight="1">
      <c r="B53" s="576"/>
      <c r="C53" s="576"/>
      <c r="D53" s="576"/>
      <c r="E53" s="979"/>
      <c r="F53" s="979"/>
      <c r="G53" s="576"/>
      <c r="N53" s="578"/>
      <c r="O53" s="578"/>
      <c r="P53" s="578"/>
      <c r="Q53" s="578"/>
      <c r="R53" s="578"/>
      <c r="S53" s="578"/>
      <c r="T53" s="579"/>
      <c r="W53" s="580"/>
      <c r="X53" s="580"/>
      <c r="Y53" s="580"/>
      <c r="Z53" s="580"/>
      <c r="AA53" s="580"/>
      <c r="AB53" s="580"/>
      <c r="AC53" s="580"/>
    </row>
    <row r="54" spans="1:98" s="567" customFormat="1" ht="12" customHeight="1">
      <c r="A54" s="567" t="s">
        <v>100</v>
      </c>
      <c r="B54" s="581">
        <v>1649167300</v>
      </c>
      <c r="C54" s="581">
        <v>1518417900</v>
      </c>
      <c r="D54" s="581">
        <v>2642429900</v>
      </c>
      <c r="E54" s="980">
        <v>4291597200</v>
      </c>
      <c r="F54" s="980">
        <v>4160847800</v>
      </c>
      <c r="G54" s="581">
        <v>24132917.239999998</v>
      </c>
      <c r="H54" s="570">
        <v>2011</v>
      </c>
      <c r="I54" s="571"/>
      <c r="J54" s="571"/>
      <c r="K54" s="571"/>
      <c r="L54" s="572"/>
      <c r="M54" s="572"/>
      <c r="N54" s="583"/>
      <c r="O54" s="583"/>
      <c r="P54" s="583"/>
      <c r="Q54" s="583"/>
      <c r="R54" s="583"/>
      <c r="S54" s="583"/>
      <c r="T54" s="574"/>
      <c r="U54" s="572"/>
      <c r="V54" s="572"/>
      <c r="W54" s="575"/>
      <c r="X54" s="575"/>
      <c r="Y54" s="575"/>
      <c r="Z54" s="575"/>
      <c r="AA54" s="575"/>
      <c r="AB54" s="575"/>
      <c r="AC54" s="575"/>
      <c r="AD54" s="572"/>
      <c r="AE54" s="572"/>
      <c r="AF54" s="572"/>
      <c r="AG54" s="572"/>
      <c r="AH54" s="572"/>
      <c r="AI54" s="572"/>
      <c r="AJ54" s="572"/>
      <c r="AK54" s="572"/>
      <c r="AL54" s="572"/>
      <c r="AM54" s="572"/>
      <c r="AN54" s="572"/>
      <c r="AO54" s="572"/>
      <c r="AP54" s="572"/>
      <c r="AQ54" s="572"/>
      <c r="AR54" s="572"/>
      <c r="AS54" s="572"/>
      <c r="AT54" s="572"/>
      <c r="AU54" s="572"/>
      <c r="AV54" s="572"/>
      <c r="AW54" s="572"/>
      <c r="AX54" s="572"/>
      <c r="AY54" s="572"/>
      <c r="AZ54" s="572"/>
      <c r="BA54" s="572"/>
      <c r="BB54" s="572"/>
      <c r="BC54" s="572"/>
      <c r="BD54" s="572"/>
      <c r="BE54" s="572"/>
      <c r="BF54" s="572"/>
      <c r="BG54" s="572"/>
      <c r="BH54" s="572"/>
      <c r="BI54" s="572"/>
      <c r="BJ54" s="572"/>
      <c r="BK54" s="572"/>
      <c r="BL54" s="572"/>
      <c r="BM54" s="572"/>
      <c r="BN54" s="572"/>
      <c r="BO54" s="572"/>
      <c r="BP54" s="572"/>
      <c r="BQ54" s="572"/>
      <c r="BR54" s="572"/>
      <c r="BS54" s="572"/>
      <c r="BT54" s="572"/>
      <c r="BU54" s="572"/>
      <c r="BV54" s="572"/>
      <c r="BW54" s="572"/>
      <c r="BX54" s="572"/>
      <c r="BY54" s="572"/>
      <c r="BZ54" s="572"/>
      <c r="CA54" s="572"/>
      <c r="CB54" s="572"/>
      <c r="CC54" s="572"/>
      <c r="CD54" s="572"/>
      <c r="CE54" s="572"/>
      <c r="CF54" s="572"/>
      <c r="CG54" s="572"/>
      <c r="CH54" s="572"/>
      <c r="CI54" s="572"/>
      <c r="CJ54" s="572"/>
      <c r="CK54" s="572"/>
      <c r="CL54" s="572"/>
      <c r="CM54" s="572"/>
      <c r="CN54" s="572"/>
      <c r="CO54" s="572"/>
      <c r="CP54" s="572"/>
      <c r="CQ54" s="572"/>
      <c r="CR54" s="572"/>
      <c r="CS54" s="572"/>
      <c r="CT54" s="572"/>
    </row>
    <row r="55" spans="1:98" ht="12" customHeight="1">
      <c r="A55" s="556" t="s">
        <v>102</v>
      </c>
      <c r="B55" s="576">
        <v>2578883200</v>
      </c>
      <c r="C55" s="576">
        <v>1920215600</v>
      </c>
      <c r="D55" s="576">
        <v>2279897100</v>
      </c>
      <c r="E55" s="979">
        <v>4858780300</v>
      </c>
      <c r="F55" s="979">
        <v>4200112700</v>
      </c>
      <c r="G55" s="576">
        <v>22260597.310000002</v>
      </c>
      <c r="H55" s="570">
        <v>2011</v>
      </c>
      <c r="I55" s="571"/>
      <c r="J55" s="571"/>
      <c r="K55" s="571"/>
      <c r="M55" s="1085"/>
      <c r="N55" s="1085"/>
      <c r="O55" s="1085"/>
      <c r="P55" s="1085"/>
      <c r="Q55" s="1085"/>
      <c r="R55" s="1085"/>
      <c r="S55" s="1085"/>
      <c r="T55" s="1085"/>
      <c r="W55" s="580"/>
      <c r="X55" s="580"/>
      <c r="Y55" s="580"/>
      <c r="Z55" s="580"/>
      <c r="AA55" s="580"/>
      <c r="AB55" s="580"/>
      <c r="AC55" s="580"/>
    </row>
    <row r="56" spans="1:98" ht="12" customHeight="1">
      <c r="A56" s="556" t="s">
        <v>104</v>
      </c>
      <c r="B56" s="576">
        <v>1063770900</v>
      </c>
      <c r="C56" s="576">
        <v>1063770900</v>
      </c>
      <c r="D56" s="576">
        <v>594809500</v>
      </c>
      <c r="E56" s="979">
        <v>1658580400</v>
      </c>
      <c r="F56" s="979">
        <v>1658580400</v>
      </c>
      <c r="G56" s="576">
        <v>8127043.96</v>
      </c>
      <c r="H56" s="570">
        <v>2011</v>
      </c>
      <c r="I56" s="571"/>
      <c r="J56" s="571"/>
      <c r="K56" s="571"/>
      <c r="M56" s="559"/>
      <c r="W56" s="580"/>
      <c r="X56" s="580"/>
      <c r="Y56" s="580"/>
      <c r="Z56" s="580"/>
      <c r="AA56" s="580"/>
      <c r="AB56" s="580"/>
      <c r="AC56" s="580"/>
    </row>
    <row r="57" spans="1:98" s="567" customFormat="1" ht="12" customHeight="1">
      <c r="A57" s="567" t="s">
        <v>106</v>
      </c>
      <c r="B57" s="581">
        <v>1019305602</v>
      </c>
      <c r="C57" s="581">
        <v>705738064</v>
      </c>
      <c r="D57" s="581">
        <v>1161288800</v>
      </c>
      <c r="E57" s="980">
        <v>2180594402</v>
      </c>
      <c r="F57" s="980">
        <v>1867026864</v>
      </c>
      <c r="G57" s="581">
        <v>12882485.361599999</v>
      </c>
      <c r="H57" s="570">
        <v>2011</v>
      </c>
      <c r="I57" s="571"/>
      <c r="J57" s="571"/>
      <c r="K57" s="571"/>
      <c r="L57" s="572"/>
      <c r="M57" s="1086"/>
      <c r="N57" s="1086"/>
      <c r="O57" s="1086"/>
      <c r="P57" s="1086"/>
      <c r="Q57" s="1086"/>
      <c r="R57" s="1086"/>
      <c r="S57" s="1086"/>
      <c r="T57" s="1086"/>
      <c r="U57" s="572"/>
      <c r="V57" s="572"/>
      <c r="W57" s="575"/>
      <c r="X57" s="575"/>
      <c r="Y57" s="575"/>
      <c r="Z57" s="575"/>
      <c r="AA57" s="575"/>
      <c r="AB57" s="575"/>
      <c r="AC57" s="575"/>
      <c r="AD57" s="572"/>
      <c r="AE57" s="572"/>
      <c r="AF57" s="572"/>
      <c r="AG57" s="572"/>
      <c r="AH57" s="572"/>
      <c r="AI57" s="572"/>
      <c r="AJ57" s="572"/>
      <c r="AK57" s="572"/>
      <c r="AL57" s="572"/>
      <c r="AM57" s="572"/>
      <c r="AN57" s="572"/>
      <c r="AO57" s="572"/>
      <c r="AP57" s="572"/>
      <c r="AQ57" s="572"/>
      <c r="AR57" s="572"/>
      <c r="AS57" s="572"/>
      <c r="AT57" s="572"/>
      <c r="AU57" s="572"/>
      <c r="AV57" s="572"/>
      <c r="AW57" s="572"/>
      <c r="AX57" s="572"/>
      <c r="AY57" s="572"/>
      <c r="AZ57" s="572"/>
      <c r="BA57" s="572"/>
      <c r="BB57" s="572"/>
      <c r="BC57" s="572"/>
      <c r="BD57" s="572"/>
      <c r="BE57" s="572"/>
      <c r="BF57" s="572"/>
      <c r="BG57" s="572"/>
      <c r="BH57" s="572"/>
      <c r="BI57" s="572"/>
      <c r="BJ57" s="572"/>
      <c r="BK57" s="572"/>
      <c r="BL57" s="572"/>
      <c r="BM57" s="572"/>
      <c r="BN57" s="572"/>
      <c r="BO57" s="572"/>
      <c r="BP57" s="572"/>
      <c r="BQ57" s="572"/>
      <c r="BR57" s="572"/>
      <c r="BS57" s="572"/>
      <c r="BT57" s="572"/>
      <c r="BU57" s="572"/>
      <c r="BV57" s="572"/>
      <c r="BW57" s="572"/>
      <c r="BX57" s="572"/>
      <c r="BY57" s="572"/>
      <c r="BZ57" s="572"/>
      <c r="CA57" s="572"/>
      <c r="CB57" s="572"/>
      <c r="CC57" s="572"/>
      <c r="CD57" s="572"/>
      <c r="CE57" s="572"/>
      <c r="CF57" s="572"/>
      <c r="CG57" s="572"/>
      <c r="CH57" s="572"/>
      <c r="CI57" s="572"/>
      <c r="CJ57" s="572"/>
      <c r="CK57" s="572"/>
      <c r="CL57" s="572"/>
      <c r="CM57" s="572"/>
      <c r="CN57" s="572"/>
      <c r="CO57" s="572"/>
      <c r="CP57" s="572"/>
      <c r="CQ57" s="572"/>
      <c r="CR57" s="572"/>
      <c r="CS57" s="572"/>
      <c r="CT57" s="572"/>
    </row>
    <row r="58" spans="1:98" ht="12" customHeight="1">
      <c r="A58" s="558" t="s">
        <v>108</v>
      </c>
      <c r="B58" s="576">
        <v>366136100</v>
      </c>
      <c r="C58" s="576">
        <v>348047800</v>
      </c>
      <c r="D58" s="576">
        <v>334052000</v>
      </c>
      <c r="E58" s="979">
        <v>700188100</v>
      </c>
      <c r="F58" s="979">
        <v>682099800</v>
      </c>
      <c r="G58" s="576">
        <v>3205869.0599999996</v>
      </c>
      <c r="H58" s="570">
        <v>2011</v>
      </c>
      <c r="I58" s="571"/>
      <c r="J58" s="571"/>
      <c r="K58" s="571"/>
      <c r="W58" s="580"/>
      <c r="X58" s="580"/>
      <c r="Y58" s="580"/>
      <c r="Z58" s="580"/>
      <c r="AA58" s="580"/>
      <c r="AB58" s="580"/>
      <c r="AC58" s="580"/>
    </row>
    <row r="59" spans="1:98" ht="9" customHeight="1">
      <c r="W59" s="580"/>
      <c r="X59" s="580"/>
      <c r="Y59" s="580"/>
      <c r="Z59" s="580"/>
      <c r="AA59" s="580"/>
      <c r="AB59" s="580"/>
      <c r="AC59" s="580"/>
    </row>
    <row r="60" spans="1:98" s="567" customFormat="1" ht="12" customHeight="1">
      <c r="A60" s="567" t="s">
        <v>523</v>
      </c>
      <c r="B60" s="576">
        <v>1150014956</v>
      </c>
      <c r="C60" s="576">
        <v>1106163160</v>
      </c>
      <c r="D60" s="576">
        <v>1495016127</v>
      </c>
      <c r="E60" s="979">
        <v>2645031083</v>
      </c>
      <c r="F60" s="979">
        <v>2601179287</v>
      </c>
      <c r="G60" s="576">
        <v>11705306.7915</v>
      </c>
      <c r="H60" s="570">
        <v>2011</v>
      </c>
      <c r="I60" s="571"/>
      <c r="J60" s="571"/>
      <c r="K60" s="571"/>
      <c r="L60" s="572"/>
      <c r="M60" s="572"/>
      <c r="N60" s="573"/>
      <c r="O60" s="573"/>
      <c r="P60" s="573"/>
      <c r="Q60" s="573"/>
      <c r="R60" s="573"/>
      <c r="S60" s="573"/>
      <c r="T60" s="574"/>
      <c r="U60" s="572"/>
      <c r="V60" s="572"/>
      <c r="W60" s="575"/>
      <c r="X60" s="575"/>
      <c r="Y60" s="575"/>
      <c r="Z60" s="575"/>
      <c r="AA60" s="575"/>
      <c r="AB60" s="575"/>
      <c r="AC60" s="575"/>
      <c r="AD60" s="572"/>
      <c r="AE60" s="572"/>
      <c r="AF60" s="572"/>
      <c r="AG60" s="572"/>
      <c r="AH60" s="572"/>
      <c r="AI60" s="572"/>
      <c r="AJ60" s="572"/>
      <c r="AK60" s="572"/>
      <c r="AL60" s="572"/>
      <c r="AM60" s="572"/>
      <c r="AN60" s="572"/>
      <c r="AO60" s="572"/>
      <c r="AP60" s="572"/>
      <c r="AQ60" s="572"/>
      <c r="AR60" s="572"/>
      <c r="AS60" s="572"/>
      <c r="AT60" s="572"/>
      <c r="AU60" s="572"/>
      <c r="AV60" s="572"/>
      <c r="AW60" s="572"/>
      <c r="AX60" s="572"/>
      <c r="AY60" s="572"/>
      <c r="AZ60" s="572"/>
      <c r="BA60" s="572"/>
      <c r="BB60" s="572"/>
      <c r="BC60" s="572"/>
      <c r="BD60" s="572"/>
      <c r="BE60" s="572"/>
      <c r="BF60" s="572"/>
      <c r="BG60" s="572"/>
      <c r="BH60" s="572"/>
      <c r="BI60" s="572"/>
      <c r="BJ60" s="572"/>
      <c r="BK60" s="572"/>
      <c r="BL60" s="572"/>
      <c r="BM60" s="572"/>
      <c r="BN60" s="572"/>
      <c r="BO60" s="572"/>
      <c r="BP60" s="572"/>
      <c r="BQ60" s="572"/>
      <c r="BR60" s="572"/>
      <c r="BS60" s="572"/>
      <c r="BT60" s="572"/>
      <c r="BU60" s="572"/>
      <c r="BV60" s="572"/>
      <c r="BW60" s="572"/>
      <c r="BX60" s="572"/>
      <c r="BY60" s="572"/>
      <c r="BZ60" s="572"/>
      <c r="CA60" s="572"/>
      <c r="CB60" s="572"/>
      <c r="CC60" s="572"/>
      <c r="CD60" s="572"/>
      <c r="CE60" s="572"/>
      <c r="CF60" s="572"/>
      <c r="CG60" s="572"/>
      <c r="CH60" s="572"/>
      <c r="CI60" s="572"/>
      <c r="CJ60" s="572"/>
      <c r="CK60" s="572"/>
      <c r="CL60" s="572"/>
      <c r="CM60" s="572"/>
      <c r="CN60" s="572"/>
      <c r="CO60" s="572"/>
      <c r="CP60" s="572"/>
      <c r="CQ60" s="572"/>
      <c r="CR60" s="572"/>
      <c r="CS60" s="572"/>
      <c r="CT60" s="572"/>
    </row>
    <row r="61" spans="1:98" ht="12" customHeight="1">
      <c r="A61" s="556" t="s">
        <v>112</v>
      </c>
      <c r="B61" s="576">
        <v>4430312400</v>
      </c>
      <c r="C61" s="576">
        <v>3749268400</v>
      </c>
      <c r="D61" s="576">
        <v>7687744900</v>
      </c>
      <c r="E61" s="979">
        <v>12118057300</v>
      </c>
      <c r="F61" s="979">
        <v>11437013300</v>
      </c>
      <c r="G61" s="576">
        <v>92639807.730000004</v>
      </c>
      <c r="H61" s="570">
        <v>2011</v>
      </c>
      <c r="I61" s="571"/>
      <c r="J61" s="571"/>
      <c r="K61" s="571"/>
      <c r="N61" s="578"/>
      <c r="O61" s="578"/>
      <c r="P61" s="578"/>
      <c r="Q61" s="578"/>
      <c r="R61" s="578"/>
      <c r="S61" s="578"/>
      <c r="T61" s="579"/>
      <c r="W61" s="580"/>
      <c r="X61" s="580"/>
      <c r="Y61" s="580"/>
      <c r="Z61" s="580"/>
      <c r="AA61" s="580"/>
      <c r="AB61" s="580"/>
      <c r="AC61" s="580"/>
    </row>
    <row r="62" spans="1:98" ht="12" customHeight="1">
      <c r="A62" s="556" t="s">
        <v>114</v>
      </c>
      <c r="B62" s="576">
        <v>8623830600</v>
      </c>
      <c r="C62" s="576">
        <v>8425732400</v>
      </c>
      <c r="D62" s="576">
        <v>22241192100</v>
      </c>
      <c r="E62" s="979">
        <v>30865022700</v>
      </c>
      <c r="F62" s="979">
        <v>30666924500</v>
      </c>
      <c r="G62" s="576">
        <v>266802243.15000001</v>
      </c>
      <c r="H62" s="570">
        <v>2011</v>
      </c>
      <c r="I62" s="571"/>
      <c r="J62" s="571"/>
      <c r="K62" s="571"/>
      <c r="N62" s="578"/>
      <c r="O62" s="578"/>
      <c r="P62" s="578"/>
      <c r="Q62" s="578"/>
      <c r="R62" s="578"/>
      <c r="S62" s="578"/>
      <c r="T62" s="579"/>
      <c r="W62" s="580"/>
      <c r="X62" s="580"/>
      <c r="Y62" s="580"/>
      <c r="Z62" s="580"/>
      <c r="AA62" s="580"/>
      <c r="AB62" s="580"/>
      <c r="AC62" s="580"/>
    </row>
    <row r="63" spans="1:98" s="567" customFormat="1" ht="12" customHeight="1">
      <c r="A63" s="567" t="s">
        <v>116</v>
      </c>
      <c r="B63" s="581">
        <v>761851400</v>
      </c>
      <c r="C63" s="581">
        <v>732634000</v>
      </c>
      <c r="D63" s="581">
        <v>2253438800</v>
      </c>
      <c r="E63" s="980">
        <v>3015290200</v>
      </c>
      <c r="F63" s="980">
        <v>2986072800</v>
      </c>
      <c r="G63" s="581">
        <v>13735934.880000001</v>
      </c>
      <c r="H63" s="570">
        <v>2011</v>
      </c>
      <c r="I63" s="571"/>
      <c r="J63" s="571"/>
      <c r="K63" s="571"/>
      <c r="L63" s="572"/>
      <c r="M63" s="572"/>
      <c r="N63" s="583"/>
      <c r="O63" s="583"/>
      <c r="P63" s="583"/>
      <c r="Q63" s="583"/>
      <c r="R63" s="583"/>
      <c r="S63" s="583"/>
      <c r="T63" s="574"/>
      <c r="U63" s="572"/>
      <c r="V63" s="572"/>
      <c r="W63" s="575"/>
      <c r="X63" s="575"/>
      <c r="Y63" s="575"/>
      <c r="Z63" s="575"/>
      <c r="AA63" s="575"/>
      <c r="AB63" s="575"/>
      <c r="AC63" s="575"/>
      <c r="AD63" s="572"/>
      <c r="AE63" s="572"/>
      <c r="AF63" s="572"/>
      <c r="AG63" s="572"/>
      <c r="AH63" s="572"/>
      <c r="AI63" s="572"/>
      <c r="AJ63" s="572"/>
      <c r="AK63" s="572"/>
      <c r="AL63" s="572"/>
      <c r="AM63" s="572"/>
      <c r="AN63" s="572"/>
      <c r="AO63" s="572"/>
      <c r="AP63" s="572"/>
      <c r="AQ63" s="572"/>
      <c r="AR63" s="572"/>
      <c r="AS63" s="572"/>
      <c r="AT63" s="572"/>
      <c r="AU63" s="572"/>
      <c r="AV63" s="572"/>
      <c r="AW63" s="572"/>
      <c r="AX63" s="572"/>
      <c r="AY63" s="572"/>
      <c r="AZ63" s="572"/>
      <c r="BA63" s="572"/>
      <c r="BB63" s="572"/>
      <c r="BC63" s="572"/>
      <c r="BD63" s="572"/>
      <c r="BE63" s="572"/>
      <c r="BF63" s="572"/>
      <c r="BG63" s="572"/>
      <c r="BH63" s="572"/>
      <c r="BI63" s="572"/>
      <c r="BJ63" s="572"/>
      <c r="BK63" s="572"/>
      <c r="BL63" s="572"/>
      <c r="BM63" s="572"/>
      <c r="BN63" s="572"/>
      <c r="BO63" s="572"/>
      <c r="BP63" s="572"/>
      <c r="BQ63" s="572"/>
      <c r="BR63" s="572"/>
      <c r="BS63" s="572"/>
      <c r="BT63" s="572"/>
      <c r="BU63" s="572"/>
      <c r="BV63" s="572"/>
      <c r="BW63" s="572"/>
      <c r="BX63" s="572"/>
      <c r="BY63" s="572"/>
      <c r="BZ63" s="572"/>
      <c r="CA63" s="572"/>
      <c r="CB63" s="572"/>
      <c r="CC63" s="572"/>
      <c r="CD63" s="572"/>
      <c r="CE63" s="572"/>
      <c r="CF63" s="572"/>
      <c r="CG63" s="572"/>
      <c r="CH63" s="572"/>
      <c r="CI63" s="572"/>
      <c r="CJ63" s="572"/>
      <c r="CK63" s="572"/>
      <c r="CL63" s="572"/>
      <c r="CM63" s="572"/>
      <c r="CN63" s="572"/>
      <c r="CO63" s="572"/>
      <c r="CP63" s="572"/>
      <c r="CQ63" s="572"/>
      <c r="CR63" s="572"/>
      <c r="CS63" s="572"/>
      <c r="CT63" s="572"/>
    </row>
    <row r="64" spans="1:98" s="567" customFormat="1" ht="12" customHeight="1">
      <c r="A64" s="567" t="s">
        <v>118</v>
      </c>
      <c r="B64" s="581">
        <v>415596200</v>
      </c>
      <c r="C64" s="581">
        <v>415596200</v>
      </c>
      <c r="D64" s="581">
        <v>209928100</v>
      </c>
      <c r="E64" s="980">
        <v>625524300</v>
      </c>
      <c r="F64" s="980">
        <v>625524300</v>
      </c>
      <c r="G64" s="581">
        <v>2502097.2000000002</v>
      </c>
      <c r="H64" s="570">
        <v>2011</v>
      </c>
      <c r="I64" s="571"/>
      <c r="J64" s="571"/>
      <c r="K64" s="571"/>
      <c r="L64" s="572"/>
      <c r="M64" s="572"/>
      <c r="N64" s="583"/>
      <c r="O64" s="583"/>
      <c r="P64" s="583"/>
      <c r="Q64" s="583"/>
      <c r="R64" s="583"/>
      <c r="S64" s="583"/>
      <c r="T64" s="574"/>
      <c r="U64" s="572"/>
      <c r="V64" s="572"/>
      <c r="W64" s="575"/>
      <c r="X64" s="575"/>
      <c r="Y64" s="575"/>
      <c r="Z64" s="575"/>
      <c r="AA64" s="575"/>
      <c r="AB64" s="575"/>
      <c r="AC64" s="575"/>
      <c r="AD64" s="572"/>
      <c r="AE64" s="572"/>
      <c r="AF64" s="572"/>
      <c r="AG64" s="572"/>
      <c r="AH64" s="572"/>
      <c r="AI64" s="572"/>
      <c r="AJ64" s="572"/>
      <c r="AK64" s="572"/>
      <c r="AL64" s="572"/>
      <c r="AM64" s="572"/>
      <c r="AN64" s="572"/>
      <c r="AO64" s="572"/>
      <c r="AP64" s="572"/>
      <c r="AQ64" s="572"/>
      <c r="AR64" s="572"/>
      <c r="AS64" s="572"/>
      <c r="AT64" s="572"/>
      <c r="AU64" s="572"/>
      <c r="AV64" s="572"/>
      <c r="AW64" s="572"/>
      <c r="AX64" s="572"/>
      <c r="AY64" s="572"/>
      <c r="AZ64" s="572"/>
      <c r="BA64" s="572"/>
      <c r="BB64" s="572"/>
      <c r="BC64" s="572"/>
      <c r="BD64" s="572"/>
      <c r="BE64" s="572"/>
      <c r="BF64" s="572"/>
      <c r="BG64" s="572"/>
      <c r="BH64" s="572"/>
      <c r="BI64" s="572"/>
      <c r="BJ64" s="572"/>
      <c r="BK64" s="572"/>
      <c r="BL64" s="572"/>
      <c r="BM64" s="572"/>
      <c r="BN64" s="572"/>
      <c r="BO64" s="572"/>
      <c r="BP64" s="572"/>
      <c r="BQ64" s="572"/>
      <c r="BR64" s="572"/>
      <c r="BS64" s="572"/>
      <c r="BT64" s="572"/>
      <c r="BU64" s="572"/>
      <c r="BV64" s="572"/>
      <c r="BW64" s="572"/>
      <c r="BX64" s="572"/>
      <c r="BY64" s="572"/>
      <c r="BZ64" s="572"/>
      <c r="CA64" s="572"/>
      <c r="CB64" s="572"/>
      <c r="CC64" s="572"/>
      <c r="CD64" s="572"/>
      <c r="CE64" s="572"/>
      <c r="CF64" s="572"/>
      <c r="CG64" s="572"/>
      <c r="CH64" s="572"/>
      <c r="CI64" s="572"/>
      <c r="CJ64" s="572"/>
      <c r="CK64" s="572"/>
      <c r="CL64" s="572"/>
      <c r="CM64" s="572"/>
      <c r="CN64" s="572"/>
      <c r="CO64" s="572"/>
      <c r="CP64" s="572"/>
      <c r="CQ64" s="572"/>
      <c r="CR64" s="572"/>
      <c r="CS64" s="572"/>
      <c r="CT64" s="572"/>
    </row>
    <row r="65" spans="1:98" ht="9" customHeight="1">
      <c r="B65" s="576"/>
      <c r="C65" s="576"/>
      <c r="D65" s="576"/>
      <c r="E65" s="979"/>
      <c r="F65" s="979"/>
      <c r="G65" s="576"/>
      <c r="N65" s="578"/>
      <c r="O65" s="578"/>
      <c r="P65" s="578"/>
      <c r="Q65" s="578"/>
      <c r="R65" s="578"/>
      <c r="S65" s="578"/>
      <c r="T65" s="579"/>
      <c r="W65" s="580"/>
      <c r="X65" s="580"/>
      <c r="Y65" s="580"/>
      <c r="Z65" s="580"/>
      <c r="AA65" s="580"/>
      <c r="AB65" s="580"/>
      <c r="AC65" s="580"/>
    </row>
    <row r="66" spans="1:98" ht="12" customHeight="1">
      <c r="A66" s="556" t="s">
        <v>120</v>
      </c>
      <c r="B66" s="581">
        <v>1919326500</v>
      </c>
      <c r="C66" s="581">
        <v>1490781700</v>
      </c>
      <c r="D66" s="581">
        <v>2784604500</v>
      </c>
      <c r="E66" s="980">
        <v>4703931000</v>
      </c>
      <c r="F66" s="980">
        <v>4275386200</v>
      </c>
      <c r="G66" s="581">
        <v>27790010.300000001</v>
      </c>
      <c r="H66" s="570" t="s">
        <v>1089</v>
      </c>
      <c r="I66" s="571"/>
      <c r="J66" s="571"/>
      <c r="K66" s="571"/>
      <c r="N66" s="578"/>
      <c r="O66" s="578"/>
      <c r="P66" s="578"/>
      <c r="Q66" s="578"/>
      <c r="R66" s="578"/>
      <c r="S66" s="578"/>
      <c r="T66" s="579"/>
      <c r="W66" s="580"/>
      <c r="X66" s="580"/>
      <c r="Y66" s="580"/>
      <c r="Z66" s="580"/>
      <c r="AA66" s="580"/>
      <c r="AB66" s="580"/>
      <c r="AC66" s="580"/>
    </row>
    <row r="67" spans="1:98" ht="12" customHeight="1">
      <c r="A67" s="556" t="s">
        <v>122</v>
      </c>
      <c r="B67" s="576">
        <v>3266252000</v>
      </c>
      <c r="C67" s="576">
        <v>3123595500</v>
      </c>
      <c r="D67" s="576">
        <v>8193212400</v>
      </c>
      <c r="E67" s="979">
        <v>11459464400</v>
      </c>
      <c r="F67" s="979">
        <v>11316807900</v>
      </c>
      <c r="G67" s="576">
        <v>87139420.829999998</v>
      </c>
      <c r="H67" s="557" t="s">
        <v>1089</v>
      </c>
      <c r="I67" s="571"/>
      <c r="J67" s="571"/>
      <c r="K67" s="571"/>
      <c r="N67" s="578"/>
      <c r="O67" s="578"/>
      <c r="P67" s="578"/>
      <c r="Q67" s="578"/>
      <c r="R67" s="578"/>
      <c r="S67" s="578"/>
      <c r="T67" s="579"/>
      <c r="W67" s="580"/>
      <c r="X67" s="580"/>
      <c r="Y67" s="580"/>
      <c r="Z67" s="580"/>
      <c r="AA67" s="580"/>
      <c r="AB67" s="580"/>
      <c r="AC67" s="580"/>
    </row>
    <row r="68" spans="1:98" ht="12" customHeight="1">
      <c r="A68" s="556" t="s">
        <v>124</v>
      </c>
      <c r="B68" s="576">
        <v>407270525</v>
      </c>
      <c r="C68" s="576">
        <v>407270525</v>
      </c>
      <c r="D68" s="576">
        <v>382832250</v>
      </c>
      <c r="E68" s="979">
        <v>790102775</v>
      </c>
      <c r="F68" s="979">
        <v>790102775</v>
      </c>
      <c r="G68" s="576">
        <v>3792493.32</v>
      </c>
      <c r="H68" s="570">
        <v>2011</v>
      </c>
      <c r="I68" s="571"/>
      <c r="J68" s="571"/>
      <c r="K68" s="571"/>
      <c r="N68" s="578"/>
      <c r="O68" s="578"/>
      <c r="P68" s="578"/>
      <c r="Q68" s="578"/>
      <c r="R68" s="578"/>
      <c r="S68" s="578"/>
      <c r="T68" s="579"/>
      <c r="W68" s="580"/>
      <c r="X68" s="580"/>
      <c r="Y68" s="580"/>
      <c r="Z68" s="580"/>
      <c r="AA68" s="580"/>
      <c r="AB68" s="580"/>
      <c r="AC68" s="580"/>
    </row>
    <row r="69" spans="1:98" ht="12" customHeight="1">
      <c r="A69" s="556" t="s">
        <v>126</v>
      </c>
      <c r="B69" s="576">
        <v>1150344700</v>
      </c>
      <c r="C69" s="576">
        <v>956657212</v>
      </c>
      <c r="D69" s="576">
        <v>1581985800</v>
      </c>
      <c r="E69" s="979">
        <v>2732330500</v>
      </c>
      <c r="F69" s="979">
        <v>2538643012</v>
      </c>
      <c r="G69" s="576">
        <v>12693215.060000001</v>
      </c>
      <c r="H69" s="570">
        <v>2011</v>
      </c>
      <c r="I69" s="571"/>
      <c r="J69" s="571"/>
      <c r="K69" s="571"/>
      <c r="N69" s="578"/>
      <c r="O69" s="578"/>
      <c r="P69" s="578"/>
      <c r="Q69" s="578"/>
      <c r="R69" s="578"/>
      <c r="S69" s="578"/>
      <c r="T69" s="579"/>
      <c r="W69" s="580"/>
      <c r="X69" s="580"/>
      <c r="Y69" s="580"/>
      <c r="Z69" s="580"/>
      <c r="AA69" s="580"/>
      <c r="AB69" s="580"/>
      <c r="AC69" s="580"/>
    </row>
    <row r="70" spans="1:98" ht="12" customHeight="1">
      <c r="A70" s="556" t="s">
        <v>128</v>
      </c>
      <c r="B70" s="576">
        <v>819372800</v>
      </c>
      <c r="C70" s="576">
        <v>657555100</v>
      </c>
      <c r="D70" s="576">
        <v>1016685364</v>
      </c>
      <c r="E70" s="979">
        <v>1836058164</v>
      </c>
      <c r="F70" s="979">
        <v>1674240464</v>
      </c>
      <c r="G70" s="576">
        <v>13561347.758400001</v>
      </c>
      <c r="H70" s="570">
        <v>2011</v>
      </c>
      <c r="I70" s="571"/>
      <c r="J70" s="571"/>
      <c r="K70" s="571"/>
      <c r="T70" s="579"/>
      <c r="W70" s="580"/>
      <c r="X70" s="580"/>
      <c r="Y70" s="580"/>
      <c r="Z70" s="580"/>
      <c r="AA70" s="580"/>
      <c r="AB70" s="580"/>
      <c r="AC70" s="580"/>
    </row>
    <row r="71" spans="1:98" ht="9" customHeight="1">
      <c r="B71" s="981"/>
      <c r="C71" s="981"/>
      <c r="D71" s="981"/>
      <c r="E71" s="576"/>
      <c r="F71" s="576"/>
      <c r="G71" s="981"/>
      <c r="H71" s="982"/>
      <c r="N71" s="578"/>
      <c r="O71" s="578"/>
      <c r="P71" s="578"/>
      <c r="Q71" s="578"/>
      <c r="R71" s="578"/>
      <c r="S71" s="578"/>
      <c r="T71" s="579"/>
      <c r="W71" s="580"/>
      <c r="X71" s="580"/>
      <c r="Y71" s="580"/>
      <c r="Z71" s="580"/>
      <c r="AA71" s="580"/>
      <c r="AB71" s="580"/>
      <c r="AC71" s="580"/>
    </row>
    <row r="72" spans="1:98" ht="12" customHeight="1">
      <c r="A72" s="556" t="s">
        <v>130</v>
      </c>
      <c r="B72" s="576">
        <v>1504257500</v>
      </c>
      <c r="C72" s="576">
        <v>1472751200</v>
      </c>
      <c r="D72" s="576">
        <v>1665030400</v>
      </c>
      <c r="E72" s="979">
        <v>3169287900</v>
      </c>
      <c r="F72" s="979">
        <v>3137781600</v>
      </c>
      <c r="G72" s="576">
        <v>12551126.4</v>
      </c>
      <c r="H72" s="570">
        <v>2011</v>
      </c>
      <c r="I72" s="571"/>
      <c r="J72" s="571"/>
      <c r="K72" s="571"/>
      <c r="N72" s="578"/>
      <c r="O72" s="578"/>
      <c r="P72" s="578"/>
      <c r="Q72" s="578"/>
      <c r="R72" s="578"/>
      <c r="S72" s="578"/>
      <c r="T72" s="579"/>
      <c r="W72" s="580"/>
      <c r="X72" s="580"/>
      <c r="Y72" s="580"/>
      <c r="Z72" s="580"/>
      <c r="AA72" s="580"/>
      <c r="AB72" s="580"/>
      <c r="AC72" s="580"/>
    </row>
    <row r="73" spans="1:98" ht="12" customHeight="1">
      <c r="A73" s="556" t="s">
        <v>132</v>
      </c>
      <c r="B73" s="576">
        <v>297624900</v>
      </c>
      <c r="C73" s="576">
        <v>297624900</v>
      </c>
      <c r="D73" s="576">
        <v>572868405</v>
      </c>
      <c r="E73" s="979">
        <v>870493305</v>
      </c>
      <c r="F73" s="979">
        <v>870493305</v>
      </c>
      <c r="G73" s="576">
        <v>5666911.415550001</v>
      </c>
      <c r="H73" s="570">
        <v>2011</v>
      </c>
      <c r="I73" s="571"/>
      <c r="J73" s="571"/>
      <c r="K73" s="571"/>
      <c r="N73" s="578"/>
      <c r="O73" s="578"/>
      <c r="P73" s="578"/>
      <c r="Q73" s="578"/>
      <c r="R73" s="578"/>
      <c r="S73" s="578"/>
      <c r="T73" s="579"/>
      <c r="W73" s="580"/>
      <c r="X73" s="580"/>
      <c r="Y73" s="580"/>
      <c r="Z73" s="580"/>
      <c r="AA73" s="580"/>
      <c r="AB73" s="580"/>
      <c r="AC73" s="580"/>
    </row>
    <row r="74" spans="1:98" s="567" customFormat="1" ht="12" customHeight="1">
      <c r="A74" s="567" t="s">
        <v>134</v>
      </c>
      <c r="B74" s="581">
        <v>21630728700</v>
      </c>
      <c r="C74" s="581">
        <v>19590333890</v>
      </c>
      <c r="D74" s="581">
        <v>34529081200</v>
      </c>
      <c r="E74" s="980">
        <v>56159809900</v>
      </c>
      <c r="F74" s="980">
        <v>54119415090</v>
      </c>
      <c r="G74" s="581">
        <v>668374776.36150002</v>
      </c>
      <c r="H74" s="570">
        <v>2011</v>
      </c>
      <c r="I74" s="571"/>
      <c r="J74" s="571"/>
      <c r="K74" s="571"/>
      <c r="L74" s="572"/>
      <c r="M74" s="572"/>
      <c r="N74" s="583"/>
      <c r="O74" s="583"/>
      <c r="P74" s="583"/>
      <c r="Q74" s="583"/>
      <c r="R74" s="583"/>
      <c r="S74" s="583"/>
      <c r="T74" s="574"/>
      <c r="U74" s="572"/>
      <c r="V74" s="572"/>
      <c r="W74" s="575"/>
      <c r="X74" s="575"/>
      <c r="Y74" s="575"/>
      <c r="Z74" s="575"/>
      <c r="AA74" s="575"/>
      <c r="AB74" s="575"/>
      <c r="AC74" s="575"/>
      <c r="AD74" s="572"/>
      <c r="AE74" s="572"/>
      <c r="AF74" s="572"/>
      <c r="AG74" s="572"/>
      <c r="AH74" s="572"/>
      <c r="AI74" s="572"/>
      <c r="AJ74" s="572"/>
      <c r="AK74" s="572"/>
      <c r="AL74" s="572"/>
      <c r="AM74" s="572"/>
      <c r="AN74" s="572"/>
      <c r="AO74" s="572"/>
      <c r="AP74" s="572"/>
      <c r="AQ74" s="572"/>
      <c r="AR74" s="572"/>
      <c r="AS74" s="572"/>
      <c r="AT74" s="572"/>
      <c r="AU74" s="572"/>
      <c r="AV74" s="572"/>
      <c r="AW74" s="572"/>
      <c r="AX74" s="572"/>
      <c r="AY74" s="572"/>
      <c r="AZ74" s="572"/>
      <c r="BA74" s="572"/>
      <c r="BB74" s="572"/>
      <c r="BC74" s="572"/>
      <c r="BD74" s="572"/>
      <c r="BE74" s="572"/>
      <c r="BF74" s="572"/>
      <c r="BG74" s="572"/>
      <c r="BH74" s="572"/>
      <c r="BI74" s="572"/>
      <c r="BJ74" s="572"/>
      <c r="BK74" s="572"/>
      <c r="BL74" s="572"/>
      <c r="BM74" s="572"/>
      <c r="BN74" s="572"/>
      <c r="BO74" s="572"/>
      <c r="BP74" s="572"/>
      <c r="BQ74" s="572"/>
      <c r="BR74" s="572"/>
      <c r="BS74" s="572"/>
      <c r="BT74" s="572"/>
      <c r="BU74" s="572"/>
      <c r="BV74" s="572"/>
      <c r="BW74" s="572"/>
      <c r="BX74" s="572"/>
      <c r="BY74" s="572"/>
      <c r="BZ74" s="572"/>
      <c r="CA74" s="572"/>
      <c r="CB74" s="572"/>
      <c r="CC74" s="572"/>
      <c r="CD74" s="572"/>
      <c r="CE74" s="572"/>
      <c r="CF74" s="572"/>
      <c r="CG74" s="572"/>
      <c r="CH74" s="572"/>
      <c r="CI74" s="572"/>
      <c r="CJ74" s="572"/>
      <c r="CK74" s="572"/>
      <c r="CL74" s="572"/>
      <c r="CM74" s="572"/>
      <c r="CN74" s="572"/>
      <c r="CO74" s="572"/>
      <c r="CP74" s="572"/>
      <c r="CQ74" s="572"/>
      <c r="CR74" s="572"/>
      <c r="CS74" s="572"/>
      <c r="CT74" s="572"/>
    </row>
    <row r="75" spans="1:98" ht="12" customHeight="1">
      <c r="A75" s="556" t="s">
        <v>136</v>
      </c>
      <c r="B75" s="576">
        <v>2497115700</v>
      </c>
      <c r="C75" s="576">
        <v>1862815700</v>
      </c>
      <c r="D75" s="576">
        <v>2320235300</v>
      </c>
      <c r="E75" s="979">
        <v>4817351000</v>
      </c>
      <c r="F75" s="979">
        <v>4183051000</v>
      </c>
      <c r="G75" s="576">
        <v>25934916.199999999</v>
      </c>
      <c r="H75" s="570">
        <v>2011</v>
      </c>
      <c r="I75" s="571"/>
      <c r="J75" s="571"/>
      <c r="K75" s="571"/>
      <c r="N75" s="578"/>
      <c r="O75" s="578"/>
      <c r="P75" s="578"/>
      <c r="Q75" s="578"/>
      <c r="R75" s="578"/>
      <c r="S75" s="578"/>
      <c r="T75" s="579"/>
      <c r="W75" s="580"/>
      <c r="X75" s="580"/>
      <c r="Y75" s="580"/>
      <c r="Z75" s="580"/>
      <c r="AA75" s="580"/>
      <c r="AB75" s="580"/>
      <c r="AC75" s="580"/>
    </row>
    <row r="76" spans="1:98" ht="12" customHeight="1">
      <c r="A76" s="556" t="s">
        <v>138</v>
      </c>
      <c r="B76" s="576">
        <v>463060800</v>
      </c>
      <c r="C76" s="576">
        <v>463060800</v>
      </c>
      <c r="D76" s="576">
        <v>420808100</v>
      </c>
      <c r="E76" s="979">
        <v>883868900</v>
      </c>
      <c r="F76" s="979">
        <v>883868900</v>
      </c>
      <c r="G76" s="576">
        <v>3181928.04</v>
      </c>
      <c r="H76" s="570">
        <v>2011</v>
      </c>
      <c r="I76" s="571"/>
      <c r="J76" s="571"/>
      <c r="K76" s="571"/>
      <c r="N76" s="578"/>
      <c r="O76" s="578"/>
      <c r="P76" s="578"/>
      <c r="Q76" s="578"/>
      <c r="R76" s="578"/>
      <c r="S76" s="578"/>
      <c r="T76" s="579"/>
      <c r="W76" s="580"/>
      <c r="X76" s="580"/>
      <c r="Y76" s="580"/>
      <c r="Z76" s="580"/>
      <c r="AA76" s="580"/>
      <c r="AB76" s="580"/>
      <c r="AC76" s="580"/>
    </row>
    <row r="77" spans="1:98" ht="9" customHeight="1">
      <c r="B77" s="576"/>
      <c r="C77" s="576"/>
      <c r="D77" s="576"/>
      <c r="E77" s="979"/>
      <c r="F77" s="979"/>
      <c r="G77" s="576"/>
      <c r="I77" s="567"/>
      <c r="J77" s="567"/>
      <c r="K77" s="567"/>
      <c r="N77" s="1087"/>
      <c r="O77" s="1087"/>
      <c r="P77" s="1087"/>
      <c r="Q77" s="1087"/>
      <c r="R77" s="1087"/>
      <c r="S77" s="1087"/>
      <c r="T77" s="579"/>
      <c r="W77" s="580"/>
      <c r="X77" s="580"/>
      <c r="Y77" s="580"/>
      <c r="Z77" s="580"/>
      <c r="AA77" s="580"/>
      <c r="AB77" s="580"/>
      <c r="AC77" s="580"/>
    </row>
    <row r="78" spans="1:98" ht="12" customHeight="1">
      <c r="A78" s="556" t="s">
        <v>140</v>
      </c>
      <c r="B78" s="576">
        <v>1718404600</v>
      </c>
      <c r="C78" s="576">
        <v>965521100</v>
      </c>
      <c r="D78" s="576">
        <v>1005734800</v>
      </c>
      <c r="E78" s="979">
        <v>2724139400</v>
      </c>
      <c r="F78" s="979">
        <v>1971255900</v>
      </c>
      <c r="G78" s="576">
        <v>9856279.5</v>
      </c>
      <c r="H78" s="570">
        <v>2011</v>
      </c>
      <c r="I78" s="571"/>
      <c r="J78" s="571"/>
      <c r="K78" s="571"/>
      <c r="N78" s="578"/>
      <c r="O78" s="578"/>
      <c r="P78" s="578"/>
      <c r="Q78" s="578"/>
      <c r="R78" s="578"/>
      <c r="S78" s="578"/>
      <c r="T78" s="579"/>
      <c r="W78" s="580"/>
      <c r="X78" s="580"/>
      <c r="Y78" s="580"/>
      <c r="Z78" s="580"/>
      <c r="AA78" s="580"/>
      <c r="AB78" s="580"/>
      <c r="AC78" s="580"/>
    </row>
    <row r="79" spans="1:98" s="567" customFormat="1" ht="12" customHeight="1">
      <c r="A79" s="567" t="s">
        <v>142</v>
      </c>
      <c r="B79" s="581">
        <v>788605150</v>
      </c>
      <c r="C79" s="581">
        <v>788605150</v>
      </c>
      <c r="D79" s="581">
        <v>870553500</v>
      </c>
      <c r="E79" s="980">
        <v>1659158650</v>
      </c>
      <c r="F79" s="980">
        <v>1659158650</v>
      </c>
      <c r="G79" s="581">
        <v>7798045.6549999993</v>
      </c>
      <c r="H79" s="570">
        <v>2011</v>
      </c>
      <c r="I79" s="571"/>
      <c r="J79" s="571"/>
      <c r="K79" s="571"/>
      <c r="L79" s="572"/>
      <c r="M79" s="572"/>
      <c r="N79" s="583"/>
      <c r="O79" s="583"/>
      <c r="P79" s="583"/>
      <c r="Q79" s="583"/>
      <c r="R79" s="583"/>
      <c r="S79" s="583"/>
      <c r="T79" s="574"/>
      <c r="U79" s="572"/>
      <c r="V79" s="572"/>
      <c r="W79" s="575"/>
      <c r="X79" s="575"/>
      <c r="Y79" s="575"/>
      <c r="Z79" s="575"/>
      <c r="AA79" s="575"/>
      <c r="AB79" s="575"/>
      <c r="AC79" s="575"/>
      <c r="AD79" s="572"/>
      <c r="AE79" s="572"/>
      <c r="AF79" s="572"/>
      <c r="AG79" s="572"/>
      <c r="AH79" s="572"/>
      <c r="AI79" s="572"/>
      <c r="AJ79" s="572"/>
      <c r="AK79" s="572"/>
      <c r="AL79" s="572"/>
      <c r="AM79" s="572"/>
      <c r="AN79" s="572"/>
      <c r="AO79" s="572"/>
      <c r="AP79" s="572"/>
      <c r="AQ79" s="572"/>
      <c r="AR79" s="572"/>
      <c r="AS79" s="572"/>
      <c r="AT79" s="572"/>
      <c r="AU79" s="572"/>
      <c r="AV79" s="572"/>
      <c r="AW79" s="572"/>
      <c r="AX79" s="572"/>
      <c r="AY79" s="572"/>
      <c r="AZ79" s="572"/>
      <c r="BA79" s="572"/>
      <c r="BB79" s="572"/>
      <c r="BC79" s="572"/>
      <c r="BD79" s="572"/>
      <c r="BE79" s="572"/>
      <c r="BF79" s="572"/>
      <c r="BG79" s="572"/>
      <c r="BH79" s="572"/>
      <c r="BI79" s="572"/>
      <c r="BJ79" s="572"/>
      <c r="BK79" s="572"/>
      <c r="BL79" s="572"/>
      <c r="BM79" s="572"/>
      <c r="BN79" s="572"/>
      <c r="BO79" s="572"/>
      <c r="BP79" s="572"/>
      <c r="BQ79" s="572"/>
      <c r="BR79" s="572"/>
      <c r="BS79" s="572"/>
      <c r="BT79" s="572"/>
      <c r="BU79" s="572"/>
      <c r="BV79" s="572"/>
      <c r="BW79" s="572"/>
      <c r="BX79" s="572"/>
      <c r="BY79" s="572"/>
      <c r="BZ79" s="572"/>
      <c r="CA79" s="572"/>
      <c r="CB79" s="572"/>
      <c r="CC79" s="572"/>
      <c r="CD79" s="572"/>
      <c r="CE79" s="572"/>
      <c r="CF79" s="572"/>
      <c r="CG79" s="572"/>
      <c r="CH79" s="572"/>
      <c r="CI79" s="572"/>
      <c r="CJ79" s="572"/>
      <c r="CK79" s="572"/>
      <c r="CL79" s="572"/>
      <c r="CM79" s="572"/>
      <c r="CN79" s="572"/>
      <c r="CO79" s="572"/>
      <c r="CP79" s="572"/>
      <c r="CQ79" s="572"/>
      <c r="CR79" s="572"/>
      <c r="CS79" s="572"/>
      <c r="CT79" s="572"/>
    </row>
    <row r="80" spans="1:98" ht="12" customHeight="1">
      <c r="A80" s="556" t="s">
        <v>144</v>
      </c>
      <c r="B80" s="576">
        <v>1718557300</v>
      </c>
      <c r="C80" s="576">
        <v>1718557300</v>
      </c>
      <c r="D80" s="576">
        <v>2025305500</v>
      </c>
      <c r="E80" s="979">
        <v>3743862800</v>
      </c>
      <c r="F80" s="979">
        <v>3743862800</v>
      </c>
      <c r="G80" s="576">
        <v>13477906.08</v>
      </c>
      <c r="H80" s="557" t="s">
        <v>1089</v>
      </c>
      <c r="I80" s="571"/>
      <c r="J80" s="571"/>
      <c r="K80" s="571"/>
      <c r="N80" s="578"/>
      <c r="O80" s="578"/>
      <c r="P80" s="578"/>
      <c r="Q80" s="578"/>
      <c r="R80" s="578"/>
      <c r="S80" s="578"/>
      <c r="T80" s="579"/>
      <c r="W80" s="580"/>
      <c r="X80" s="580"/>
      <c r="Y80" s="580"/>
      <c r="Z80" s="580"/>
      <c r="AA80" s="580"/>
      <c r="AB80" s="580"/>
      <c r="AC80" s="580"/>
    </row>
    <row r="81" spans="1:29" ht="12" customHeight="1">
      <c r="A81" s="556" t="s">
        <v>146</v>
      </c>
      <c r="B81" s="576">
        <v>1274322200</v>
      </c>
      <c r="C81" s="576">
        <v>1196703800</v>
      </c>
      <c r="D81" s="576">
        <v>1202075800</v>
      </c>
      <c r="E81" s="979">
        <v>2476398000</v>
      </c>
      <c r="F81" s="979">
        <v>2398779600</v>
      </c>
      <c r="G81" s="576">
        <v>10314752.279999999</v>
      </c>
      <c r="H81" s="570">
        <v>2011</v>
      </c>
      <c r="I81" s="571"/>
      <c r="J81" s="571"/>
      <c r="K81" s="571"/>
      <c r="N81" s="584"/>
      <c r="T81" s="579"/>
      <c r="W81" s="580"/>
      <c r="X81" s="580"/>
      <c r="Y81" s="580"/>
      <c r="Z81" s="580"/>
      <c r="AA81" s="580"/>
      <c r="AB81" s="580"/>
      <c r="AC81" s="580"/>
    </row>
    <row r="82" spans="1:29" ht="12" customHeight="1">
      <c r="A82" s="556" t="s">
        <v>148</v>
      </c>
      <c r="B82" s="576">
        <v>2204145800</v>
      </c>
      <c r="C82" s="576">
        <v>1999806500</v>
      </c>
      <c r="D82" s="576">
        <v>4955422800</v>
      </c>
      <c r="E82" s="979">
        <v>7159568600</v>
      </c>
      <c r="F82" s="979">
        <v>6955229300</v>
      </c>
      <c r="G82" s="576">
        <v>52164219.75</v>
      </c>
      <c r="H82" s="570">
        <v>2011</v>
      </c>
      <c r="I82" s="571"/>
      <c r="J82" s="571"/>
      <c r="K82" s="571"/>
      <c r="N82" s="578"/>
      <c r="O82" s="578"/>
      <c r="P82" s="578"/>
      <c r="Q82" s="578"/>
      <c r="R82" s="578"/>
      <c r="S82" s="578"/>
      <c r="T82" s="579"/>
      <c r="W82" s="580"/>
      <c r="X82" s="580"/>
      <c r="Y82" s="580"/>
      <c r="Z82" s="580"/>
      <c r="AA82" s="580"/>
      <c r="AB82" s="580"/>
      <c r="AC82" s="580"/>
    </row>
    <row r="83" spans="1:29" ht="15">
      <c r="A83" s="555" t="s">
        <v>997</v>
      </c>
      <c r="N83" s="578"/>
      <c r="O83" s="578"/>
      <c r="P83" s="578"/>
      <c r="Q83" s="578"/>
      <c r="R83" s="578"/>
      <c r="S83" s="578"/>
      <c r="T83" s="579"/>
      <c r="W83" s="580"/>
      <c r="X83" s="580"/>
      <c r="Y83" s="580"/>
      <c r="Z83" s="580"/>
      <c r="AA83" s="580"/>
      <c r="AB83" s="580"/>
      <c r="AC83" s="580"/>
    </row>
    <row r="84" spans="1:29" ht="12.75">
      <c r="A84" s="1082" t="s">
        <v>1068</v>
      </c>
      <c r="B84" s="1083"/>
      <c r="C84" s="1083"/>
      <c r="D84" s="1083"/>
      <c r="E84" s="1083"/>
      <c r="F84" s="1083"/>
      <c r="G84" s="1083"/>
      <c r="H84" s="1083"/>
      <c r="N84" s="578"/>
      <c r="O84" s="578"/>
      <c r="P84" s="578"/>
      <c r="Q84" s="578"/>
      <c r="R84" s="578"/>
      <c r="S84" s="578"/>
      <c r="T84" s="579"/>
      <c r="W84" s="580"/>
      <c r="X84" s="580"/>
      <c r="Y84" s="580"/>
      <c r="Z84" s="580"/>
      <c r="AA84" s="580"/>
      <c r="AB84" s="580"/>
      <c r="AC84" s="580"/>
    </row>
    <row r="85" spans="1:29" ht="11.25" customHeight="1" thickBot="1">
      <c r="A85" s="562"/>
      <c r="B85" s="562"/>
      <c r="C85" s="562"/>
      <c r="D85" s="562"/>
      <c r="E85" s="562"/>
      <c r="F85" s="562"/>
      <c r="G85" s="562"/>
      <c r="H85" s="562"/>
      <c r="N85" s="578"/>
      <c r="O85" s="578"/>
      <c r="P85" s="578"/>
      <c r="Q85" s="578"/>
      <c r="R85" s="578"/>
      <c r="S85" s="578"/>
      <c r="T85" s="579"/>
      <c r="W85" s="580"/>
      <c r="X85" s="580"/>
      <c r="Y85" s="580"/>
      <c r="Z85" s="580"/>
      <c r="AA85" s="580"/>
      <c r="AB85" s="580"/>
      <c r="AC85" s="580"/>
    </row>
    <row r="86" spans="1:29" ht="11.25" customHeight="1">
      <c r="N86" s="578"/>
      <c r="O86" s="578"/>
      <c r="P86" s="578"/>
      <c r="Q86" s="578"/>
      <c r="R86" s="578"/>
      <c r="S86" s="578"/>
      <c r="T86" s="579"/>
      <c r="W86" s="580"/>
      <c r="X86" s="580"/>
      <c r="Y86" s="580"/>
      <c r="Z86" s="580"/>
      <c r="AA86" s="580"/>
      <c r="AB86" s="580"/>
      <c r="AC86" s="580"/>
    </row>
    <row r="87" spans="1:29" ht="11.25" customHeight="1">
      <c r="A87" s="563" t="s">
        <v>33</v>
      </c>
      <c r="B87" s="563" t="s">
        <v>934</v>
      </c>
      <c r="C87" s="563" t="s">
        <v>935</v>
      </c>
      <c r="D87" s="563" t="s">
        <v>936</v>
      </c>
      <c r="E87" s="563" t="s">
        <v>937</v>
      </c>
      <c r="F87" s="563" t="s">
        <v>938</v>
      </c>
      <c r="G87" s="563" t="s">
        <v>939</v>
      </c>
      <c r="H87" s="564" t="s">
        <v>940</v>
      </c>
      <c r="N87" s="578"/>
      <c r="O87" s="578"/>
      <c r="P87" s="578"/>
      <c r="Q87" s="578"/>
      <c r="R87" s="578"/>
      <c r="S87" s="578"/>
      <c r="T87" s="579"/>
      <c r="W87" s="580"/>
      <c r="X87" s="580"/>
      <c r="Y87" s="580"/>
      <c r="Z87" s="580"/>
      <c r="AA87" s="580"/>
      <c r="AB87" s="580"/>
      <c r="AC87" s="580"/>
    </row>
    <row r="88" spans="1:29" ht="8.25" customHeight="1">
      <c r="B88" s="585"/>
      <c r="C88" s="585"/>
      <c r="D88" s="585"/>
      <c r="E88" s="576"/>
      <c r="F88" s="576"/>
      <c r="G88" s="585"/>
      <c r="H88" s="586"/>
      <c r="N88" s="578"/>
      <c r="O88" s="578"/>
      <c r="P88" s="578"/>
      <c r="Q88" s="578"/>
      <c r="R88" s="578"/>
      <c r="S88" s="578"/>
      <c r="T88" s="579"/>
      <c r="W88" s="580"/>
      <c r="X88" s="580"/>
      <c r="Y88" s="580"/>
      <c r="Z88" s="580"/>
      <c r="AA88" s="580"/>
      <c r="AB88" s="580"/>
      <c r="AC88" s="580"/>
    </row>
    <row r="89" spans="1:29" ht="12" customHeight="1">
      <c r="A89" s="556" t="s">
        <v>150</v>
      </c>
      <c r="B89" s="588">
        <v>1750782690</v>
      </c>
      <c r="C89" s="588">
        <v>1067136270</v>
      </c>
      <c r="D89" s="588">
        <v>1843406910</v>
      </c>
      <c r="E89" s="589">
        <v>3594189600</v>
      </c>
      <c r="F89" s="589">
        <v>2910543180</v>
      </c>
      <c r="G89" s="588">
        <v>17463259.079999998</v>
      </c>
      <c r="H89" s="557">
        <v>2011</v>
      </c>
      <c r="I89" s="571"/>
      <c r="J89" s="571"/>
      <c r="K89" s="571"/>
      <c r="N89" s="578"/>
      <c r="O89" s="578"/>
      <c r="P89" s="578"/>
      <c r="Q89" s="578"/>
      <c r="R89" s="578"/>
      <c r="S89" s="578"/>
      <c r="T89" s="579"/>
      <c r="W89" s="580"/>
      <c r="X89" s="580"/>
      <c r="Y89" s="580"/>
      <c r="Z89" s="580"/>
      <c r="AA89" s="580"/>
      <c r="AB89" s="580"/>
      <c r="AC89" s="580"/>
    </row>
    <row r="90" spans="1:29" ht="12" customHeight="1">
      <c r="A90" s="556" t="s">
        <v>152</v>
      </c>
      <c r="B90" s="576">
        <v>1200693251</v>
      </c>
      <c r="C90" s="576">
        <v>1125332851</v>
      </c>
      <c r="D90" s="576">
        <v>1487997597</v>
      </c>
      <c r="E90" s="577">
        <v>2688690848</v>
      </c>
      <c r="F90" s="577">
        <v>2613330448</v>
      </c>
      <c r="G90" s="576">
        <v>18293313.136</v>
      </c>
      <c r="H90" s="557">
        <v>2011</v>
      </c>
      <c r="I90" s="571"/>
      <c r="J90" s="571"/>
      <c r="K90" s="571"/>
      <c r="N90" s="578"/>
      <c r="O90" s="578"/>
      <c r="P90" s="578"/>
      <c r="Q90" s="578"/>
      <c r="R90" s="578"/>
      <c r="S90" s="578"/>
      <c r="T90" s="579"/>
      <c r="W90" s="580"/>
      <c r="X90" s="580"/>
      <c r="Y90" s="580"/>
      <c r="Z90" s="580"/>
      <c r="AA90" s="580"/>
      <c r="AB90" s="580"/>
      <c r="AC90" s="580"/>
    </row>
    <row r="91" spans="1:29" ht="12" customHeight="1">
      <c r="A91" s="556" t="s">
        <v>154</v>
      </c>
      <c r="B91" s="576">
        <v>1768337700</v>
      </c>
      <c r="C91" s="576">
        <v>1501254400</v>
      </c>
      <c r="D91" s="576">
        <v>1115114900</v>
      </c>
      <c r="E91" s="577">
        <v>2883452600</v>
      </c>
      <c r="F91" s="577">
        <v>2616369300</v>
      </c>
      <c r="G91" s="576">
        <v>12820209.57</v>
      </c>
      <c r="H91" s="557">
        <v>2011</v>
      </c>
      <c r="I91" s="571"/>
      <c r="J91" s="571"/>
      <c r="K91" s="571"/>
      <c r="N91" s="578"/>
      <c r="O91" s="578"/>
      <c r="P91" s="578"/>
      <c r="Q91" s="578"/>
      <c r="R91" s="578"/>
      <c r="S91" s="578"/>
      <c r="T91" s="579"/>
      <c r="W91" s="580"/>
      <c r="X91" s="580"/>
      <c r="Y91" s="580"/>
      <c r="Z91" s="580"/>
      <c r="AA91" s="580"/>
      <c r="AB91" s="580"/>
      <c r="AC91" s="580"/>
    </row>
    <row r="92" spans="1:29" ht="12" customHeight="1">
      <c r="A92" s="556" t="s">
        <v>156</v>
      </c>
      <c r="B92" s="576">
        <v>1607547600</v>
      </c>
      <c r="C92" s="576">
        <v>1458349858</v>
      </c>
      <c r="D92" s="576">
        <v>1622101900</v>
      </c>
      <c r="E92" s="577">
        <v>3229649500</v>
      </c>
      <c r="F92" s="577">
        <v>3080451758</v>
      </c>
      <c r="G92" s="576">
        <v>12321807.032</v>
      </c>
      <c r="H92" s="557">
        <v>2011</v>
      </c>
      <c r="I92" s="571"/>
      <c r="J92" s="571"/>
      <c r="K92" s="571"/>
      <c r="N92" s="578"/>
      <c r="O92" s="578"/>
      <c r="P92" s="578"/>
      <c r="Q92" s="578"/>
      <c r="R92" s="578"/>
      <c r="S92" s="578"/>
      <c r="T92" s="579"/>
      <c r="W92" s="580"/>
      <c r="X92" s="580"/>
      <c r="Y92" s="580"/>
      <c r="Z92" s="580"/>
      <c r="AA92" s="580"/>
      <c r="AB92" s="580"/>
      <c r="AC92" s="580"/>
    </row>
    <row r="93" spans="1:29" s="572" customFormat="1" ht="12" customHeight="1">
      <c r="A93" s="567" t="s">
        <v>158</v>
      </c>
      <c r="B93" s="581">
        <v>305536342</v>
      </c>
      <c r="C93" s="581">
        <v>281582795</v>
      </c>
      <c r="D93" s="581">
        <v>541589721</v>
      </c>
      <c r="E93" s="582">
        <v>847126063</v>
      </c>
      <c r="F93" s="582">
        <v>823172516</v>
      </c>
      <c r="G93" s="581">
        <v>4033545.3284</v>
      </c>
      <c r="H93" s="570">
        <v>2011</v>
      </c>
      <c r="I93" s="571"/>
      <c r="J93" s="571"/>
      <c r="K93" s="571"/>
      <c r="N93" s="583"/>
      <c r="O93" s="583"/>
      <c r="P93" s="583"/>
      <c r="Q93" s="583"/>
      <c r="R93" s="583"/>
      <c r="S93" s="583"/>
      <c r="T93" s="574"/>
      <c r="W93" s="575"/>
      <c r="X93" s="575"/>
      <c r="Y93" s="575"/>
      <c r="Z93" s="575"/>
      <c r="AA93" s="575"/>
      <c r="AB93" s="575"/>
      <c r="AC93" s="575"/>
    </row>
    <row r="94" spans="1:29" ht="9" customHeight="1">
      <c r="B94" s="576"/>
      <c r="C94" s="576"/>
      <c r="D94" s="576"/>
      <c r="E94" s="577"/>
      <c r="F94" s="577"/>
      <c r="G94" s="576"/>
      <c r="I94" s="567"/>
      <c r="J94" s="567"/>
      <c r="K94" s="567"/>
      <c r="N94" s="578"/>
      <c r="O94" s="578"/>
      <c r="P94" s="578"/>
      <c r="Q94" s="578"/>
      <c r="R94" s="578"/>
      <c r="S94" s="578"/>
      <c r="T94" s="579"/>
      <c r="W94" s="580"/>
      <c r="X94" s="580"/>
      <c r="Y94" s="580"/>
      <c r="Z94" s="580"/>
      <c r="AA94" s="580"/>
      <c r="AB94" s="580"/>
      <c r="AC94" s="580"/>
    </row>
    <row r="95" spans="1:29" ht="12" customHeight="1">
      <c r="A95" s="556" t="s">
        <v>160</v>
      </c>
      <c r="B95" s="576">
        <v>2880936300</v>
      </c>
      <c r="C95" s="576">
        <v>2253446000</v>
      </c>
      <c r="D95" s="576">
        <v>2742952200</v>
      </c>
      <c r="E95" s="577">
        <v>5623888500</v>
      </c>
      <c r="F95" s="577">
        <v>4996398200</v>
      </c>
      <c r="G95" s="576">
        <v>24482351.18</v>
      </c>
      <c r="H95" s="557">
        <v>2011</v>
      </c>
      <c r="I95" s="571"/>
      <c r="J95" s="571"/>
      <c r="K95" s="571"/>
      <c r="N95" s="578"/>
      <c r="O95" s="578"/>
      <c r="P95" s="578"/>
      <c r="Q95" s="578"/>
      <c r="R95" s="578"/>
      <c r="S95" s="578"/>
      <c r="T95" s="579"/>
      <c r="W95" s="580"/>
      <c r="X95" s="580"/>
      <c r="Y95" s="580"/>
      <c r="Z95" s="580"/>
      <c r="AA95" s="580"/>
      <c r="AB95" s="580"/>
      <c r="AC95" s="580"/>
    </row>
    <row r="96" spans="1:29" ht="12" customHeight="1">
      <c r="A96" s="556" t="s">
        <v>162</v>
      </c>
      <c r="B96" s="576">
        <v>1005912200</v>
      </c>
      <c r="C96" s="576">
        <v>575356200</v>
      </c>
      <c r="D96" s="576">
        <v>1404325000</v>
      </c>
      <c r="E96" s="577">
        <v>2410237200</v>
      </c>
      <c r="F96" s="577">
        <v>1979681200</v>
      </c>
      <c r="G96" s="576">
        <v>12669959.68</v>
      </c>
      <c r="H96" s="557">
        <v>2011</v>
      </c>
      <c r="I96" s="571"/>
      <c r="J96" s="571"/>
      <c r="K96" s="571"/>
      <c r="N96" s="578"/>
      <c r="O96" s="578"/>
      <c r="P96" s="578"/>
      <c r="Q96" s="578"/>
      <c r="R96" s="578"/>
      <c r="S96" s="578"/>
      <c r="T96" s="579"/>
      <c r="W96" s="580"/>
      <c r="X96" s="580"/>
      <c r="Y96" s="580"/>
      <c r="Z96" s="580"/>
      <c r="AA96" s="580"/>
      <c r="AB96" s="580"/>
      <c r="AC96" s="580"/>
    </row>
    <row r="97" spans="1:98" s="567" customFormat="1" ht="12" customHeight="1">
      <c r="A97" s="567" t="s">
        <v>163</v>
      </c>
      <c r="B97" s="581">
        <v>882419600</v>
      </c>
      <c r="C97" s="581">
        <v>882419600</v>
      </c>
      <c r="D97" s="581">
        <v>846199800</v>
      </c>
      <c r="E97" s="582">
        <v>1728619400</v>
      </c>
      <c r="F97" s="582">
        <v>1728619400</v>
      </c>
      <c r="G97" s="581">
        <v>8297373.1200000001</v>
      </c>
      <c r="H97" s="570">
        <v>2011</v>
      </c>
      <c r="I97" s="571"/>
      <c r="J97" s="571"/>
      <c r="K97" s="571"/>
      <c r="L97" s="572"/>
      <c r="M97" s="572"/>
      <c r="N97" s="572"/>
      <c r="O97" s="572"/>
      <c r="P97" s="572"/>
      <c r="Q97" s="572"/>
      <c r="R97" s="572"/>
      <c r="S97" s="572"/>
      <c r="T97" s="574"/>
      <c r="U97" s="572"/>
      <c r="V97" s="572"/>
      <c r="W97" s="575"/>
      <c r="X97" s="575"/>
      <c r="Y97" s="575"/>
      <c r="Z97" s="575"/>
      <c r="AA97" s="575"/>
      <c r="AB97" s="575"/>
      <c r="AC97" s="575"/>
      <c r="AD97" s="572"/>
      <c r="AE97" s="572"/>
      <c r="AF97" s="572"/>
      <c r="AG97" s="572"/>
      <c r="AH97" s="572"/>
      <c r="AI97" s="572"/>
      <c r="AJ97" s="572"/>
      <c r="AK97" s="572"/>
      <c r="AL97" s="572"/>
      <c r="AM97" s="572"/>
      <c r="AN97" s="572"/>
      <c r="AO97" s="572"/>
      <c r="AP97" s="572"/>
      <c r="AQ97" s="572"/>
      <c r="AR97" s="572"/>
      <c r="AS97" s="572"/>
      <c r="AT97" s="572"/>
      <c r="AU97" s="572"/>
      <c r="AV97" s="572"/>
      <c r="AW97" s="572"/>
      <c r="AX97" s="572"/>
      <c r="AY97" s="572"/>
      <c r="AZ97" s="572"/>
      <c r="BA97" s="572"/>
      <c r="BB97" s="572"/>
      <c r="BC97" s="572"/>
      <c r="BD97" s="572"/>
      <c r="BE97" s="572"/>
      <c r="BF97" s="572"/>
      <c r="BG97" s="572"/>
      <c r="BH97" s="572"/>
      <c r="BI97" s="572"/>
      <c r="BJ97" s="572"/>
      <c r="BK97" s="572"/>
      <c r="BL97" s="572"/>
      <c r="BM97" s="572"/>
      <c r="BN97" s="572"/>
      <c r="BO97" s="572"/>
      <c r="BP97" s="572"/>
      <c r="BQ97" s="572"/>
      <c r="BR97" s="572"/>
      <c r="BS97" s="572"/>
      <c r="BT97" s="572"/>
      <c r="BU97" s="572"/>
      <c r="BV97" s="572"/>
      <c r="BW97" s="572"/>
      <c r="BX97" s="572"/>
      <c r="BY97" s="572"/>
      <c r="BZ97" s="572"/>
      <c r="CA97" s="572"/>
      <c r="CB97" s="572"/>
      <c r="CC97" s="572"/>
      <c r="CD97" s="572"/>
      <c r="CE97" s="572"/>
      <c r="CF97" s="572"/>
      <c r="CG97" s="572"/>
      <c r="CH97" s="572"/>
      <c r="CI97" s="572"/>
      <c r="CJ97" s="572"/>
      <c r="CK97" s="572"/>
      <c r="CL97" s="572"/>
      <c r="CM97" s="572"/>
      <c r="CN97" s="572"/>
      <c r="CO97" s="572"/>
      <c r="CP97" s="572"/>
      <c r="CQ97" s="572"/>
      <c r="CR97" s="572"/>
      <c r="CS97" s="572"/>
      <c r="CT97" s="572"/>
    </row>
    <row r="98" spans="1:98" ht="12" customHeight="1">
      <c r="A98" s="556" t="s">
        <v>165</v>
      </c>
      <c r="B98" s="576">
        <v>1722795330</v>
      </c>
      <c r="C98" s="576">
        <v>1234554530</v>
      </c>
      <c r="D98" s="576">
        <v>2476718300</v>
      </c>
      <c r="E98" s="577">
        <v>4199513630</v>
      </c>
      <c r="F98" s="577">
        <v>3711272830</v>
      </c>
      <c r="G98" s="576">
        <v>19298618.715999998</v>
      </c>
      <c r="H98" s="557">
        <v>2011</v>
      </c>
      <c r="I98" s="571"/>
      <c r="J98" s="571"/>
      <c r="K98" s="571"/>
      <c r="N98" s="578"/>
      <c r="O98" s="578"/>
      <c r="P98" s="578"/>
      <c r="Q98" s="578"/>
      <c r="R98" s="578"/>
      <c r="S98" s="578"/>
      <c r="T98" s="579"/>
      <c r="W98" s="580"/>
      <c r="X98" s="580"/>
      <c r="Y98" s="580"/>
      <c r="Z98" s="580"/>
      <c r="AA98" s="580"/>
      <c r="AB98" s="580"/>
      <c r="AC98" s="580"/>
    </row>
    <row r="99" spans="1:98" ht="12" customHeight="1">
      <c r="A99" s="556" t="s">
        <v>167</v>
      </c>
      <c r="B99" s="576">
        <v>1775267700</v>
      </c>
      <c r="C99" s="576">
        <v>1408582050</v>
      </c>
      <c r="D99" s="576">
        <v>2057431200</v>
      </c>
      <c r="E99" s="577">
        <v>3832698900</v>
      </c>
      <c r="F99" s="577">
        <v>3466013250</v>
      </c>
      <c r="G99" s="576">
        <v>26688302.025000002</v>
      </c>
      <c r="H99" s="557">
        <v>2011</v>
      </c>
      <c r="I99" s="571"/>
      <c r="J99" s="571"/>
      <c r="K99" s="571"/>
      <c r="N99" s="578"/>
      <c r="O99" s="578"/>
      <c r="P99" s="578"/>
      <c r="Q99" s="578"/>
      <c r="R99" s="578"/>
      <c r="S99" s="578"/>
      <c r="T99" s="579"/>
      <c r="W99" s="580"/>
      <c r="X99" s="580"/>
      <c r="Y99" s="580"/>
      <c r="Z99" s="580"/>
      <c r="AA99" s="580"/>
      <c r="AB99" s="580"/>
      <c r="AC99" s="580"/>
    </row>
    <row r="100" spans="1:98" ht="12" customHeight="1">
      <c r="B100" s="585"/>
      <c r="C100" s="585"/>
      <c r="D100" s="585"/>
      <c r="E100" s="576"/>
      <c r="F100" s="576"/>
      <c r="G100" s="585"/>
      <c r="H100" s="586"/>
      <c r="I100" s="567"/>
      <c r="J100" s="567"/>
      <c r="K100" s="567"/>
      <c r="N100" s="578"/>
      <c r="O100" s="578"/>
      <c r="P100" s="578"/>
      <c r="Q100" s="578"/>
      <c r="R100" s="578"/>
      <c r="S100" s="578"/>
      <c r="T100" s="579"/>
      <c r="W100" s="580"/>
      <c r="X100" s="580"/>
      <c r="Y100" s="580"/>
      <c r="Z100" s="580"/>
      <c r="AA100" s="580"/>
      <c r="AB100" s="580"/>
      <c r="AC100" s="580"/>
    </row>
    <row r="101" spans="1:98" s="567" customFormat="1" ht="12" customHeight="1">
      <c r="A101" s="567" t="s">
        <v>168</v>
      </c>
      <c r="B101" s="581">
        <v>586175900</v>
      </c>
      <c r="C101" s="581">
        <v>570837200</v>
      </c>
      <c r="D101" s="581">
        <v>995573440</v>
      </c>
      <c r="E101" s="582">
        <v>1581749340</v>
      </c>
      <c r="F101" s="582">
        <v>1566410640</v>
      </c>
      <c r="G101" s="581">
        <v>6578924.6880000001</v>
      </c>
      <c r="H101" s="570">
        <v>2011</v>
      </c>
      <c r="I101" s="571"/>
      <c r="J101" s="571"/>
      <c r="K101" s="571"/>
      <c r="L101" s="572"/>
      <c r="M101" s="572"/>
      <c r="N101" s="583"/>
      <c r="O101" s="583"/>
      <c r="P101" s="583"/>
      <c r="Q101" s="583"/>
      <c r="R101" s="583"/>
      <c r="S101" s="583"/>
      <c r="T101" s="574"/>
      <c r="U101" s="572"/>
      <c r="V101" s="572"/>
      <c r="W101" s="575"/>
      <c r="X101" s="575"/>
      <c r="Y101" s="575"/>
      <c r="Z101" s="575"/>
      <c r="AA101" s="575"/>
      <c r="AB101" s="575"/>
      <c r="AC101" s="575"/>
      <c r="AD101" s="572"/>
      <c r="AE101" s="572"/>
      <c r="AF101" s="572"/>
      <c r="AG101" s="572"/>
      <c r="AH101" s="572"/>
      <c r="AI101" s="572"/>
      <c r="AJ101" s="572"/>
      <c r="AK101" s="572"/>
      <c r="AL101" s="572"/>
      <c r="AM101" s="572"/>
      <c r="AN101" s="572"/>
      <c r="AO101" s="572"/>
      <c r="AP101" s="572"/>
      <c r="AQ101" s="572"/>
      <c r="AR101" s="572"/>
      <c r="AS101" s="572"/>
      <c r="AT101" s="572"/>
      <c r="AU101" s="572"/>
      <c r="AV101" s="572"/>
      <c r="AW101" s="572"/>
      <c r="AX101" s="572"/>
      <c r="AY101" s="572"/>
      <c r="AZ101" s="572"/>
      <c r="BA101" s="572"/>
      <c r="BB101" s="572"/>
      <c r="BC101" s="572"/>
      <c r="BD101" s="572"/>
      <c r="BE101" s="572"/>
      <c r="BF101" s="572"/>
      <c r="BG101" s="572"/>
      <c r="BH101" s="572"/>
      <c r="BI101" s="572"/>
      <c r="BJ101" s="572"/>
      <c r="BK101" s="572"/>
      <c r="BL101" s="572"/>
      <c r="BM101" s="572"/>
      <c r="BN101" s="572"/>
      <c r="BO101" s="572"/>
      <c r="BP101" s="572"/>
      <c r="BQ101" s="572"/>
      <c r="BR101" s="572"/>
      <c r="BS101" s="572"/>
      <c r="BT101" s="572"/>
      <c r="BU101" s="572"/>
      <c r="BV101" s="572"/>
      <c r="BW101" s="572"/>
      <c r="BX101" s="572"/>
      <c r="BY101" s="572"/>
      <c r="BZ101" s="572"/>
      <c r="CA101" s="572"/>
      <c r="CB101" s="572"/>
      <c r="CC101" s="572"/>
      <c r="CD101" s="572"/>
      <c r="CE101" s="572"/>
      <c r="CF101" s="572"/>
      <c r="CG101" s="572"/>
      <c r="CH101" s="572"/>
      <c r="CI101" s="572"/>
      <c r="CJ101" s="572"/>
      <c r="CK101" s="572"/>
      <c r="CL101" s="572"/>
      <c r="CM101" s="572"/>
      <c r="CN101" s="572"/>
      <c r="CO101" s="572"/>
      <c r="CP101" s="572"/>
      <c r="CQ101" s="572"/>
      <c r="CR101" s="572"/>
      <c r="CS101" s="572"/>
      <c r="CT101" s="572"/>
    </row>
    <row r="102" spans="1:98" ht="12" customHeight="1">
      <c r="A102" s="556" t="s">
        <v>170</v>
      </c>
      <c r="B102" s="576">
        <v>936531100</v>
      </c>
      <c r="C102" s="576">
        <v>749329300</v>
      </c>
      <c r="D102" s="576">
        <v>1746371800</v>
      </c>
      <c r="E102" s="577">
        <v>2682902900</v>
      </c>
      <c r="F102" s="577">
        <v>2495701100</v>
      </c>
      <c r="G102" s="576">
        <v>19965608.800000001</v>
      </c>
      <c r="H102" s="557">
        <v>2011</v>
      </c>
      <c r="I102" s="571"/>
      <c r="J102" s="571"/>
      <c r="K102" s="571"/>
      <c r="N102" s="578"/>
      <c r="O102" s="578"/>
      <c r="P102" s="578"/>
      <c r="Q102" s="578"/>
      <c r="R102" s="578"/>
      <c r="S102" s="578"/>
      <c r="T102" s="579"/>
      <c r="W102" s="580"/>
      <c r="X102" s="580"/>
      <c r="Y102" s="580"/>
      <c r="Z102" s="580"/>
      <c r="AA102" s="580"/>
      <c r="AB102" s="580"/>
      <c r="AC102" s="580"/>
    </row>
    <row r="103" spans="1:98" s="567" customFormat="1" ht="12.75" customHeight="1">
      <c r="A103" s="567" t="s">
        <v>172</v>
      </c>
      <c r="B103" s="581">
        <v>14049379500</v>
      </c>
      <c r="C103" s="581">
        <v>13643812300</v>
      </c>
      <c r="D103" s="581">
        <v>26376206100</v>
      </c>
      <c r="E103" s="582">
        <v>40425585600</v>
      </c>
      <c r="F103" s="582">
        <v>40020018400</v>
      </c>
      <c r="G103" s="581">
        <v>481841021.53600001</v>
      </c>
      <c r="H103" s="570">
        <v>2011</v>
      </c>
      <c r="I103" s="571"/>
      <c r="J103" s="571"/>
      <c r="K103" s="571"/>
      <c r="L103" s="572"/>
      <c r="M103" s="572"/>
      <c r="N103" s="583"/>
      <c r="O103" s="583"/>
      <c r="P103" s="583"/>
      <c r="Q103" s="583"/>
      <c r="R103" s="583"/>
      <c r="S103" s="583"/>
      <c r="T103" s="574"/>
      <c r="U103" s="572"/>
      <c r="V103" s="572"/>
      <c r="W103" s="575"/>
      <c r="X103" s="575"/>
      <c r="Y103" s="575"/>
      <c r="Z103" s="575"/>
      <c r="AA103" s="575"/>
      <c r="AB103" s="575"/>
      <c r="AC103" s="575"/>
      <c r="AD103" s="572"/>
      <c r="AE103" s="572"/>
      <c r="AF103" s="572"/>
      <c r="AG103" s="572"/>
      <c r="AH103" s="572"/>
      <c r="AI103" s="572"/>
      <c r="AJ103" s="572"/>
      <c r="AK103" s="572"/>
      <c r="AL103" s="572"/>
      <c r="AM103" s="572"/>
      <c r="AN103" s="572"/>
      <c r="AO103" s="572"/>
      <c r="AP103" s="572"/>
      <c r="AQ103" s="572"/>
      <c r="AR103" s="572"/>
      <c r="AS103" s="572"/>
      <c r="AT103" s="572"/>
      <c r="AU103" s="572"/>
      <c r="AV103" s="572"/>
      <c r="AW103" s="572"/>
      <c r="AX103" s="572"/>
      <c r="AY103" s="572"/>
      <c r="AZ103" s="572"/>
      <c r="BA103" s="572"/>
      <c r="BB103" s="572"/>
      <c r="BC103" s="572"/>
      <c r="BD103" s="572"/>
      <c r="BE103" s="572"/>
      <c r="BF103" s="572"/>
      <c r="BG103" s="572"/>
      <c r="BH103" s="572"/>
      <c r="BI103" s="572"/>
      <c r="BJ103" s="572"/>
      <c r="BK103" s="572"/>
      <c r="BL103" s="572"/>
      <c r="BM103" s="572"/>
      <c r="BN103" s="572"/>
      <c r="BO103" s="572"/>
      <c r="BP103" s="572"/>
      <c r="BQ103" s="572"/>
      <c r="BR103" s="572"/>
      <c r="BS103" s="572"/>
      <c r="BT103" s="572"/>
      <c r="BU103" s="572"/>
      <c r="BV103" s="572"/>
      <c r="BW103" s="572"/>
      <c r="BX103" s="572"/>
      <c r="BY103" s="572"/>
      <c r="BZ103" s="572"/>
      <c r="CA103" s="572"/>
      <c r="CB103" s="572"/>
      <c r="CC103" s="572"/>
      <c r="CD103" s="572"/>
      <c r="CE103" s="572"/>
      <c r="CF103" s="572"/>
      <c r="CG103" s="572"/>
      <c r="CH103" s="572"/>
      <c r="CI103" s="572"/>
      <c r="CJ103" s="572"/>
      <c r="CK103" s="572"/>
      <c r="CL103" s="572"/>
      <c r="CM103" s="572"/>
      <c r="CN103" s="572"/>
      <c r="CO103" s="572"/>
      <c r="CP103" s="572"/>
      <c r="CQ103" s="572"/>
      <c r="CR103" s="572"/>
      <c r="CS103" s="572"/>
      <c r="CT103" s="572"/>
    </row>
    <row r="104" spans="1:98" s="567" customFormat="1" ht="12" customHeight="1">
      <c r="A104" s="567" t="s">
        <v>174</v>
      </c>
      <c r="B104" s="581">
        <v>995039200</v>
      </c>
      <c r="C104" s="581">
        <v>811636050</v>
      </c>
      <c r="D104" s="581">
        <v>1840218800</v>
      </c>
      <c r="E104" s="582">
        <v>2835258000</v>
      </c>
      <c r="F104" s="582">
        <v>2651854850</v>
      </c>
      <c r="G104" s="581">
        <v>14320016.190000001</v>
      </c>
      <c r="H104" s="570">
        <v>2011</v>
      </c>
      <c r="I104" s="571"/>
      <c r="J104" s="571"/>
      <c r="K104" s="571"/>
      <c r="L104" s="572"/>
      <c r="M104" s="572"/>
      <c r="N104" s="583"/>
      <c r="O104" s="583"/>
      <c r="P104" s="583"/>
      <c r="Q104" s="583"/>
      <c r="R104" s="583"/>
      <c r="S104" s="583"/>
      <c r="T104" s="574"/>
      <c r="U104" s="572"/>
      <c r="V104" s="572"/>
      <c r="W104" s="575"/>
      <c r="X104" s="575"/>
      <c r="Y104" s="575"/>
      <c r="Z104" s="575"/>
      <c r="AA104" s="575"/>
      <c r="AB104" s="575"/>
      <c r="AC104" s="575"/>
      <c r="AD104" s="572"/>
      <c r="AE104" s="572"/>
      <c r="AF104" s="572"/>
      <c r="AG104" s="572"/>
      <c r="AH104" s="572"/>
      <c r="AI104" s="572"/>
      <c r="AJ104" s="572"/>
      <c r="AK104" s="572"/>
      <c r="AL104" s="572"/>
      <c r="AM104" s="572"/>
      <c r="AN104" s="572"/>
      <c r="AO104" s="572"/>
      <c r="AP104" s="572"/>
      <c r="AQ104" s="572"/>
      <c r="AR104" s="572"/>
      <c r="AS104" s="572"/>
      <c r="AT104" s="572"/>
      <c r="AU104" s="572"/>
      <c r="AV104" s="572"/>
      <c r="AW104" s="572"/>
      <c r="AX104" s="572"/>
      <c r="AY104" s="572"/>
      <c r="AZ104" s="572"/>
      <c r="BA104" s="572"/>
      <c r="BB104" s="572"/>
      <c r="BC104" s="572"/>
      <c r="BD104" s="572"/>
      <c r="BE104" s="572"/>
      <c r="BF104" s="572"/>
      <c r="BG104" s="572"/>
      <c r="BH104" s="572"/>
      <c r="BI104" s="572"/>
      <c r="BJ104" s="572"/>
      <c r="BK104" s="572"/>
      <c r="BL104" s="572"/>
      <c r="BM104" s="572"/>
      <c r="BN104" s="572"/>
      <c r="BO104" s="572"/>
      <c r="BP104" s="572"/>
      <c r="BQ104" s="572"/>
      <c r="BR104" s="572"/>
      <c r="BS104" s="572"/>
      <c r="BT104" s="572"/>
      <c r="BU104" s="572"/>
      <c r="BV104" s="572"/>
      <c r="BW104" s="572"/>
      <c r="BX104" s="572"/>
      <c r="BY104" s="572"/>
      <c r="BZ104" s="572"/>
      <c r="CA104" s="572"/>
      <c r="CB104" s="572"/>
      <c r="CC104" s="572"/>
      <c r="CD104" s="572"/>
      <c r="CE104" s="572"/>
      <c r="CF104" s="572"/>
      <c r="CG104" s="572"/>
      <c r="CH104" s="572"/>
      <c r="CI104" s="572"/>
      <c r="CJ104" s="572"/>
      <c r="CK104" s="572"/>
      <c r="CL104" s="572"/>
      <c r="CM104" s="572"/>
      <c r="CN104" s="572"/>
      <c r="CO104" s="572"/>
      <c r="CP104" s="572"/>
      <c r="CQ104" s="572"/>
      <c r="CR104" s="572"/>
      <c r="CS104" s="572"/>
      <c r="CT104" s="572"/>
    </row>
    <row r="105" spans="1:98" s="567" customFormat="1" ht="12" customHeight="1">
      <c r="A105" s="567" t="s">
        <v>176</v>
      </c>
      <c r="B105" s="581">
        <v>1238547600</v>
      </c>
      <c r="C105" s="581">
        <v>638968800</v>
      </c>
      <c r="D105" s="581">
        <v>878877800</v>
      </c>
      <c r="E105" s="582">
        <v>2117425400</v>
      </c>
      <c r="F105" s="582">
        <v>1517846600</v>
      </c>
      <c r="G105" s="581">
        <v>8803510.2799999993</v>
      </c>
      <c r="H105" s="570">
        <v>2011</v>
      </c>
      <c r="I105" s="571"/>
      <c r="J105" s="571"/>
      <c r="K105" s="571"/>
      <c r="L105" s="572"/>
      <c r="M105" s="572"/>
      <c r="N105" s="583"/>
      <c r="O105" s="583"/>
      <c r="P105" s="583"/>
      <c r="Q105" s="583"/>
      <c r="R105" s="583"/>
      <c r="S105" s="583"/>
      <c r="T105" s="574"/>
      <c r="U105" s="572"/>
      <c r="V105" s="572"/>
      <c r="W105" s="575"/>
      <c r="X105" s="575"/>
      <c r="Y105" s="575"/>
      <c r="Z105" s="575"/>
      <c r="AA105" s="575"/>
      <c r="AB105" s="575"/>
      <c r="AC105" s="575"/>
      <c r="AD105" s="572"/>
      <c r="AE105" s="572"/>
      <c r="AF105" s="572"/>
      <c r="AG105" s="572"/>
      <c r="AH105" s="572"/>
      <c r="AI105" s="572"/>
      <c r="AJ105" s="572"/>
      <c r="AK105" s="572"/>
      <c r="AL105" s="572"/>
      <c r="AM105" s="572"/>
      <c r="AN105" s="572"/>
      <c r="AO105" s="572"/>
      <c r="AP105" s="572"/>
      <c r="AQ105" s="572"/>
      <c r="AR105" s="572"/>
      <c r="AS105" s="572"/>
      <c r="AT105" s="572"/>
      <c r="AU105" s="572"/>
      <c r="AV105" s="572"/>
      <c r="AW105" s="572"/>
      <c r="AX105" s="572"/>
      <c r="AY105" s="572"/>
      <c r="AZ105" s="572"/>
      <c r="BA105" s="572"/>
      <c r="BB105" s="572"/>
      <c r="BC105" s="572"/>
      <c r="BD105" s="572"/>
      <c r="BE105" s="572"/>
      <c r="BF105" s="572"/>
      <c r="BG105" s="572"/>
      <c r="BH105" s="572"/>
      <c r="BI105" s="572"/>
      <c r="BJ105" s="572"/>
      <c r="BK105" s="572"/>
      <c r="BL105" s="572"/>
      <c r="BM105" s="572"/>
      <c r="BN105" s="572"/>
      <c r="BO105" s="572"/>
      <c r="BP105" s="572"/>
      <c r="BQ105" s="572"/>
      <c r="BR105" s="572"/>
      <c r="BS105" s="572"/>
      <c r="BT105" s="572"/>
      <c r="BU105" s="572"/>
      <c r="BV105" s="572"/>
      <c r="BW105" s="572"/>
      <c r="BX105" s="572"/>
      <c r="BY105" s="572"/>
      <c r="BZ105" s="572"/>
      <c r="CA105" s="572"/>
      <c r="CB105" s="572"/>
      <c r="CC105" s="572"/>
      <c r="CD105" s="572"/>
      <c r="CE105" s="572"/>
      <c r="CF105" s="572"/>
      <c r="CG105" s="572"/>
      <c r="CH105" s="572"/>
      <c r="CI105" s="572"/>
      <c r="CJ105" s="572"/>
      <c r="CK105" s="572"/>
      <c r="CL105" s="572"/>
      <c r="CM105" s="572"/>
      <c r="CN105" s="572"/>
      <c r="CO105" s="572"/>
      <c r="CP105" s="572"/>
      <c r="CQ105" s="572"/>
      <c r="CR105" s="572"/>
      <c r="CS105" s="572"/>
      <c r="CT105" s="572"/>
    </row>
    <row r="106" spans="1:98" ht="9" customHeight="1">
      <c r="B106" s="576"/>
      <c r="C106" s="576"/>
      <c r="D106" s="576"/>
      <c r="E106" s="577"/>
      <c r="F106" s="577"/>
      <c r="G106" s="576"/>
      <c r="I106" s="567"/>
      <c r="J106" s="567"/>
      <c r="K106" s="567"/>
      <c r="N106" s="578"/>
      <c r="O106" s="578"/>
      <c r="P106" s="578"/>
      <c r="Q106" s="578"/>
      <c r="R106" s="578"/>
      <c r="S106" s="578"/>
      <c r="T106" s="579"/>
      <c r="W106" s="580"/>
      <c r="X106" s="580"/>
      <c r="Y106" s="580"/>
      <c r="Z106" s="580"/>
      <c r="AA106" s="580"/>
      <c r="AB106" s="580"/>
      <c r="AC106" s="580"/>
    </row>
    <row r="107" spans="1:98" ht="12" customHeight="1">
      <c r="A107" s="556" t="s">
        <v>178</v>
      </c>
      <c r="B107" s="576">
        <v>424205526</v>
      </c>
      <c r="C107" s="576">
        <v>355287126</v>
      </c>
      <c r="D107" s="576">
        <v>428826241</v>
      </c>
      <c r="E107" s="577">
        <v>853031767</v>
      </c>
      <c r="F107" s="577">
        <v>784113367</v>
      </c>
      <c r="G107" s="576">
        <v>5253559.5589000005</v>
      </c>
      <c r="H107" s="557">
        <v>2011</v>
      </c>
      <c r="I107" s="571"/>
      <c r="J107" s="571"/>
      <c r="K107" s="571"/>
      <c r="N107" s="578"/>
      <c r="O107" s="578"/>
      <c r="P107" s="578"/>
      <c r="Q107" s="578"/>
      <c r="R107" s="578"/>
      <c r="S107" s="578"/>
      <c r="T107" s="579"/>
      <c r="W107" s="580"/>
      <c r="X107" s="580"/>
      <c r="Y107" s="580"/>
      <c r="Z107" s="580"/>
      <c r="AA107" s="580"/>
      <c r="AB107" s="580"/>
      <c r="AC107" s="580"/>
    </row>
    <row r="108" spans="1:98" ht="12" customHeight="1">
      <c r="A108" s="556" t="s">
        <v>37</v>
      </c>
      <c r="B108" s="576">
        <v>2103742900</v>
      </c>
      <c r="C108" s="576">
        <v>1932155000</v>
      </c>
      <c r="D108" s="576">
        <v>6121126600</v>
      </c>
      <c r="E108" s="577">
        <v>8224869500</v>
      </c>
      <c r="F108" s="577">
        <v>8053281600</v>
      </c>
      <c r="G108" s="576">
        <v>87780769.440000013</v>
      </c>
      <c r="H108" s="557">
        <v>2011</v>
      </c>
      <c r="I108" s="571"/>
      <c r="J108" s="571"/>
      <c r="K108" s="571"/>
      <c r="M108" s="1085"/>
      <c r="N108" s="1085"/>
      <c r="O108" s="1085"/>
      <c r="P108" s="1085"/>
      <c r="Q108" s="1085"/>
      <c r="R108" s="1085"/>
      <c r="S108" s="1085"/>
      <c r="T108" s="1085"/>
      <c r="W108" s="580"/>
      <c r="X108" s="580"/>
      <c r="Y108" s="580"/>
      <c r="Z108" s="580"/>
      <c r="AA108" s="580"/>
      <c r="AB108" s="580"/>
      <c r="AC108" s="580"/>
    </row>
    <row r="109" spans="1:98" s="567" customFormat="1" ht="12" customHeight="1">
      <c r="A109" s="567" t="s">
        <v>180</v>
      </c>
      <c r="B109" s="581">
        <v>1300533706</v>
      </c>
      <c r="C109" s="581">
        <v>924866406</v>
      </c>
      <c r="D109" s="581">
        <v>1456165700</v>
      </c>
      <c r="E109" s="582">
        <v>2756699406</v>
      </c>
      <c r="F109" s="582">
        <v>2381032106</v>
      </c>
      <c r="G109" s="581">
        <v>14524295.846599998</v>
      </c>
      <c r="H109" s="570">
        <v>2011</v>
      </c>
      <c r="I109" s="571"/>
      <c r="J109" s="571"/>
      <c r="K109" s="571"/>
      <c r="L109" s="572"/>
      <c r="M109" s="590"/>
      <c r="N109" s="572"/>
      <c r="O109" s="572"/>
      <c r="P109" s="572"/>
      <c r="Q109" s="572"/>
      <c r="R109" s="572"/>
      <c r="S109" s="572"/>
      <c r="T109" s="572"/>
      <c r="U109" s="572"/>
      <c r="V109" s="572"/>
      <c r="W109" s="575"/>
      <c r="X109" s="575"/>
      <c r="Y109" s="575"/>
      <c r="Z109" s="575"/>
      <c r="AA109" s="575"/>
      <c r="AB109" s="575"/>
      <c r="AC109" s="575"/>
      <c r="AD109" s="572"/>
      <c r="AE109" s="572"/>
      <c r="AF109" s="572"/>
      <c r="AG109" s="572"/>
      <c r="AH109" s="572"/>
      <c r="AI109" s="572"/>
      <c r="AJ109" s="572"/>
      <c r="AK109" s="572"/>
      <c r="AL109" s="572"/>
      <c r="AM109" s="572"/>
      <c r="AN109" s="572"/>
      <c r="AO109" s="572"/>
      <c r="AP109" s="572"/>
      <c r="AQ109" s="572"/>
      <c r="AR109" s="572"/>
      <c r="AS109" s="572"/>
      <c r="AT109" s="572"/>
      <c r="AU109" s="572"/>
      <c r="AV109" s="572"/>
      <c r="AW109" s="572"/>
      <c r="AX109" s="572"/>
      <c r="AY109" s="572"/>
      <c r="AZ109" s="572"/>
      <c r="BA109" s="572"/>
      <c r="BB109" s="572"/>
      <c r="BC109" s="572"/>
      <c r="BD109" s="572"/>
      <c r="BE109" s="572"/>
      <c r="BF109" s="572"/>
      <c r="BG109" s="572"/>
      <c r="BH109" s="572"/>
      <c r="BI109" s="572"/>
      <c r="BJ109" s="572"/>
      <c r="BK109" s="572"/>
      <c r="BL109" s="572"/>
      <c r="BM109" s="572"/>
      <c r="BN109" s="572"/>
      <c r="BO109" s="572"/>
      <c r="BP109" s="572"/>
      <c r="BQ109" s="572"/>
      <c r="BR109" s="572"/>
      <c r="BS109" s="572"/>
      <c r="BT109" s="572"/>
      <c r="BU109" s="572"/>
      <c r="BV109" s="572"/>
      <c r="BW109" s="572"/>
      <c r="BX109" s="572"/>
      <c r="BY109" s="572"/>
      <c r="BZ109" s="572"/>
      <c r="CA109" s="572"/>
      <c r="CB109" s="572"/>
      <c r="CC109" s="572"/>
      <c r="CD109" s="572"/>
      <c r="CE109" s="572"/>
      <c r="CF109" s="572"/>
      <c r="CG109" s="572"/>
      <c r="CH109" s="572"/>
      <c r="CI109" s="572"/>
      <c r="CJ109" s="572"/>
      <c r="CK109" s="572"/>
      <c r="CL109" s="572"/>
      <c r="CM109" s="572"/>
      <c r="CN109" s="572"/>
      <c r="CO109" s="572"/>
      <c r="CP109" s="572"/>
      <c r="CQ109" s="572"/>
      <c r="CR109" s="572"/>
      <c r="CS109" s="572"/>
      <c r="CT109" s="572"/>
    </row>
    <row r="110" spans="1:98" s="567" customFormat="1" ht="12" customHeight="1">
      <c r="A110" s="567" t="s">
        <v>181</v>
      </c>
      <c r="B110" s="581">
        <v>2979680400</v>
      </c>
      <c r="C110" s="581">
        <v>2084764250</v>
      </c>
      <c r="D110" s="581">
        <v>4947765300</v>
      </c>
      <c r="E110" s="582">
        <v>7927445700</v>
      </c>
      <c r="F110" s="582">
        <v>7032529550</v>
      </c>
      <c r="G110" s="581">
        <v>45008189.119999997</v>
      </c>
      <c r="H110" s="570">
        <v>2011</v>
      </c>
      <c r="I110" s="571"/>
      <c r="J110" s="571"/>
      <c r="K110" s="571"/>
      <c r="L110" s="572"/>
      <c r="M110" s="1086"/>
      <c r="N110" s="1086"/>
      <c r="O110" s="1086"/>
      <c r="P110" s="1086"/>
      <c r="Q110" s="1086"/>
      <c r="R110" s="1086"/>
      <c r="S110" s="1086"/>
      <c r="T110" s="1086"/>
      <c r="U110" s="572"/>
      <c r="V110" s="572"/>
      <c r="W110" s="575"/>
      <c r="X110" s="575"/>
      <c r="Y110" s="575"/>
      <c r="Z110" s="575"/>
      <c r="AA110" s="575"/>
      <c r="AB110" s="575"/>
      <c r="AC110" s="575"/>
      <c r="AD110" s="572"/>
      <c r="AE110" s="572"/>
      <c r="AF110" s="572"/>
      <c r="AG110" s="572"/>
      <c r="AH110" s="572"/>
      <c r="AI110" s="572"/>
      <c r="AJ110" s="572"/>
      <c r="AK110" s="572"/>
      <c r="AL110" s="572"/>
      <c r="AM110" s="572"/>
      <c r="AN110" s="572"/>
      <c r="AO110" s="572"/>
      <c r="AP110" s="572"/>
      <c r="AQ110" s="572"/>
      <c r="AR110" s="572"/>
      <c r="AS110" s="572"/>
      <c r="AT110" s="572"/>
      <c r="AU110" s="572"/>
      <c r="AV110" s="572"/>
      <c r="AW110" s="572"/>
      <c r="AX110" s="572"/>
      <c r="AY110" s="572"/>
      <c r="AZ110" s="572"/>
      <c r="BA110" s="572"/>
      <c r="BB110" s="572"/>
      <c r="BC110" s="572"/>
      <c r="BD110" s="572"/>
      <c r="BE110" s="572"/>
      <c r="BF110" s="572"/>
      <c r="BG110" s="572"/>
      <c r="BH110" s="572"/>
      <c r="BI110" s="572"/>
      <c r="BJ110" s="572"/>
      <c r="BK110" s="572"/>
      <c r="BL110" s="572"/>
      <c r="BM110" s="572"/>
      <c r="BN110" s="572"/>
      <c r="BO110" s="572"/>
      <c r="BP110" s="572"/>
      <c r="BQ110" s="572"/>
      <c r="BR110" s="572"/>
      <c r="BS110" s="572"/>
      <c r="BT110" s="572"/>
      <c r="BU110" s="572"/>
      <c r="BV110" s="572"/>
      <c r="BW110" s="572"/>
      <c r="BX110" s="572"/>
      <c r="BY110" s="572"/>
      <c r="BZ110" s="572"/>
      <c r="CA110" s="572"/>
      <c r="CB110" s="572"/>
      <c r="CC110" s="572"/>
      <c r="CD110" s="572"/>
      <c r="CE110" s="572"/>
      <c r="CF110" s="572"/>
      <c r="CG110" s="572"/>
      <c r="CH110" s="572"/>
      <c r="CI110" s="572"/>
      <c r="CJ110" s="572"/>
      <c r="CK110" s="572"/>
      <c r="CL110" s="572"/>
      <c r="CM110" s="572"/>
      <c r="CN110" s="572"/>
      <c r="CO110" s="572"/>
      <c r="CP110" s="572"/>
      <c r="CQ110" s="572"/>
      <c r="CR110" s="572"/>
      <c r="CS110" s="572"/>
      <c r="CT110" s="572"/>
    </row>
    <row r="111" spans="1:98" ht="12" customHeight="1">
      <c r="A111" s="558" t="s">
        <v>183</v>
      </c>
      <c r="B111" s="591">
        <v>441654289</v>
      </c>
      <c r="C111" s="591">
        <v>333714211</v>
      </c>
      <c r="D111" s="591">
        <v>875355121</v>
      </c>
      <c r="E111" s="578">
        <v>1317009410</v>
      </c>
      <c r="F111" s="578">
        <v>1209069332</v>
      </c>
      <c r="G111" s="591">
        <v>7375322.9252000004</v>
      </c>
      <c r="H111" s="557">
        <v>2011</v>
      </c>
      <c r="I111" s="571"/>
      <c r="J111" s="571"/>
      <c r="K111" s="571"/>
      <c r="W111" s="580"/>
      <c r="X111" s="580"/>
      <c r="Y111" s="580"/>
      <c r="Z111" s="580"/>
      <c r="AA111" s="580"/>
      <c r="AB111" s="580"/>
      <c r="AC111" s="580"/>
    </row>
    <row r="112" spans="1:98" ht="9" customHeight="1">
      <c r="I112" s="567"/>
      <c r="J112" s="567"/>
      <c r="K112" s="567"/>
      <c r="W112" s="580"/>
      <c r="X112" s="580"/>
      <c r="Y112" s="580"/>
      <c r="Z112" s="580"/>
      <c r="AA112" s="580"/>
      <c r="AB112" s="580"/>
      <c r="AC112" s="580"/>
    </row>
    <row r="113" spans="1:98" ht="12" customHeight="1">
      <c r="A113" s="556" t="s">
        <v>185</v>
      </c>
      <c r="B113" s="576">
        <v>421272500</v>
      </c>
      <c r="C113" s="576">
        <v>421272500</v>
      </c>
      <c r="D113" s="576">
        <v>746535600</v>
      </c>
      <c r="E113" s="577">
        <v>1167808100</v>
      </c>
      <c r="F113" s="577">
        <v>1167808100</v>
      </c>
      <c r="G113" s="576">
        <v>8057875.8899999997</v>
      </c>
      <c r="H113" s="557">
        <v>2011</v>
      </c>
      <c r="I113" s="571"/>
      <c r="J113" s="571"/>
      <c r="K113" s="571"/>
      <c r="N113" s="592"/>
      <c r="O113" s="592"/>
      <c r="P113" s="592"/>
      <c r="Q113" s="592"/>
      <c r="R113" s="592"/>
      <c r="S113" s="592"/>
      <c r="T113" s="579"/>
      <c r="W113" s="580"/>
      <c r="X113" s="580"/>
      <c r="Y113" s="580"/>
      <c r="Z113" s="580"/>
      <c r="AA113" s="580"/>
      <c r="AB113" s="580"/>
      <c r="AC113" s="580"/>
    </row>
    <row r="114" spans="1:98" ht="12" customHeight="1">
      <c r="A114" s="556" t="s">
        <v>187</v>
      </c>
      <c r="B114" s="576">
        <v>2404076700</v>
      </c>
      <c r="C114" s="576">
        <v>1757134700</v>
      </c>
      <c r="D114" s="576">
        <v>2646176200</v>
      </c>
      <c r="E114" s="577">
        <v>5050252900</v>
      </c>
      <c r="F114" s="577">
        <v>4403310900</v>
      </c>
      <c r="G114" s="576">
        <v>20695561.23</v>
      </c>
      <c r="H114" s="557">
        <v>2011</v>
      </c>
      <c r="I114" s="571"/>
      <c r="J114" s="571"/>
      <c r="K114" s="571"/>
      <c r="N114" s="578"/>
      <c r="O114" s="578"/>
      <c r="P114" s="578"/>
      <c r="Q114" s="578"/>
      <c r="R114" s="578"/>
      <c r="S114" s="578"/>
      <c r="T114" s="579"/>
      <c r="W114" s="580"/>
      <c r="X114" s="580"/>
      <c r="Y114" s="580"/>
      <c r="Z114" s="580"/>
      <c r="AA114" s="580"/>
      <c r="AB114" s="580"/>
      <c r="AC114" s="580"/>
    </row>
    <row r="115" spans="1:98" s="567" customFormat="1" ht="12" customHeight="1">
      <c r="A115" s="567" t="s">
        <v>189</v>
      </c>
      <c r="B115" s="581">
        <v>576992500</v>
      </c>
      <c r="C115" s="581">
        <v>410146824</v>
      </c>
      <c r="D115" s="581">
        <v>1010691000</v>
      </c>
      <c r="E115" s="582">
        <v>1587683500</v>
      </c>
      <c r="F115" s="582">
        <v>1420837824</v>
      </c>
      <c r="G115" s="581">
        <v>9803780.9856000002</v>
      </c>
      <c r="H115" s="570">
        <v>2011</v>
      </c>
      <c r="I115" s="571"/>
      <c r="J115" s="571"/>
      <c r="K115" s="571"/>
      <c r="L115" s="572"/>
      <c r="M115" s="572"/>
      <c r="N115" s="583"/>
      <c r="O115" s="583"/>
      <c r="P115" s="583"/>
      <c r="Q115" s="583"/>
      <c r="R115" s="583"/>
      <c r="S115" s="583"/>
      <c r="T115" s="574"/>
      <c r="U115" s="572"/>
      <c r="V115" s="572"/>
      <c r="W115" s="575"/>
      <c r="X115" s="575"/>
      <c r="Y115" s="575"/>
      <c r="Z115" s="575"/>
      <c r="AA115" s="575"/>
      <c r="AB115" s="575"/>
      <c r="AC115" s="575"/>
      <c r="AD115" s="572"/>
      <c r="AE115" s="572"/>
      <c r="AF115" s="572"/>
      <c r="AG115" s="572"/>
      <c r="AH115" s="572"/>
      <c r="AI115" s="572"/>
      <c r="AJ115" s="572"/>
      <c r="AK115" s="572"/>
      <c r="AL115" s="572"/>
      <c r="AM115" s="572"/>
      <c r="AN115" s="572"/>
      <c r="AO115" s="572"/>
      <c r="AP115" s="572"/>
      <c r="AQ115" s="572"/>
      <c r="AR115" s="572"/>
      <c r="AS115" s="572"/>
      <c r="AT115" s="572"/>
      <c r="AU115" s="572"/>
      <c r="AV115" s="572"/>
      <c r="AW115" s="572"/>
      <c r="AX115" s="572"/>
      <c r="AY115" s="572"/>
      <c r="AZ115" s="572"/>
      <c r="BA115" s="572"/>
      <c r="BB115" s="572"/>
      <c r="BC115" s="572"/>
      <c r="BD115" s="572"/>
      <c r="BE115" s="572"/>
      <c r="BF115" s="572"/>
      <c r="BG115" s="572"/>
      <c r="BH115" s="572"/>
      <c r="BI115" s="572"/>
      <c r="BJ115" s="572"/>
      <c r="BK115" s="572"/>
      <c r="BL115" s="572"/>
      <c r="BM115" s="572"/>
      <c r="BN115" s="572"/>
      <c r="BO115" s="572"/>
      <c r="BP115" s="572"/>
      <c r="BQ115" s="572"/>
      <c r="BR115" s="572"/>
      <c r="BS115" s="572"/>
      <c r="BT115" s="572"/>
      <c r="BU115" s="572"/>
      <c r="BV115" s="572"/>
      <c r="BW115" s="572"/>
      <c r="BX115" s="572"/>
      <c r="BY115" s="572"/>
      <c r="BZ115" s="572"/>
      <c r="CA115" s="572"/>
      <c r="CB115" s="572"/>
      <c r="CC115" s="572"/>
      <c r="CD115" s="572"/>
      <c r="CE115" s="572"/>
      <c r="CF115" s="572"/>
      <c r="CG115" s="572"/>
      <c r="CH115" s="572"/>
      <c r="CI115" s="572"/>
      <c r="CJ115" s="572"/>
      <c r="CK115" s="572"/>
      <c r="CL115" s="572"/>
      <c r="CM115" s="572"/>
      <c r="CN115" s="572"/>
      <c r="CO115" s="572"/>
      <c r="CP115" s="572"/>
      <c r="CQ115" s="572"/>
      <c r="CR115" s="572"/>
      <c r="CS115" s="572"/>
      <c r="CT115" s="572"/>
    </row>
    <row r="116" spans="1:98" ht="12" customHeight="1">
      <c r="A116" s="556" t="s">
        <v>191</v>
      </c>
      <c r="B116" s="576">
        <v>840657600</v>
      </c>
      <c r="C116" s="576">
        <v>512328900</v>
      </c>
      <c r="D116" s="576">
        <v>787534000</v>
      </c>
      <c r="E116" s="577">
        <v>1628191600</v>
      </c>
      <c r="F116" s="577">
        <v>1299862900</v>
      </c>
      <c r="G116" s="576">
        <v>10008944.33</v>
      </c>
      <c r="H116" s="557">
        <v>2011</v>
      </c>
      <c r="I116" s="571"/>
      <c r="J116" s="571"/>
      <c r="K116" s="571"/>
      <c r="N116" s="578"/>
      <c r="O116" s="578"/>
      <c r="P116" s="578"/>
      <c r="Q116" s="578"/>
      <c r="R116" s="578"/>
      <c r="S116" s="578"/>
      <c r="T116" s="579"/>
      <c r="W116" s="580"/>
      <c r="X116" s="580"/>
      <c r="Y116" s="580"/>
      <c r="Z116" s="580"/>
      <c r="AA116" s="580"/>
      <c r="AB116" s="580"/>
      <c r="AC116" s="580"/>
    </row>
    <row r="117" spans="1:98" ht="12" customHeight="1">
      <c r="A117" s="556" t="s">
        <v>193</v>
      </c>
      <c r="B117" s="576">
        <v>5012700808</v>
      </c>
      <c r="C117" s="576">
        <v>4613224228</v>
      </c>
      <c r="D117" s="576">
        <v>7777317300</v>
      </c>
      <c r="E117" s="577">
        <v>12790018108</v>
      </c>
      <c r="F117" s="577">
        <v>12390541528</v>
      </c>
      <c r="G117" s="576">
        <v>106558657.1408</v>
      </c>
      <c r="H117" s="557">
        <v>2011</v>
      </c>
      <c r="I117" s="571"/>
      <c r="J117" s="571"/>
      <c r="K117" s="571"/>
      <c r="N117" s="578"/>
      <c r="O117" s="578"/>
      <c r="P117" s="578"/>
      <c r="Q117" s="578"/>
      <c r="R117" s="578"/>
      <c r="S117" s="578"/>
      <c r="T117" s="579"/>
      <c r="W117" s="580"/>
      <c r="X117" s="580"/>
      <c r="Y117" s="580"/>
      <c r="Z117" s="580"/>
      <c r="AA117" s="580"/>
      <c r="AB117" s="580"/>
      <c r="AC117" s="580"/>
    </row>
    <row r="118" spans="1:98" ht="9" customHeight="1">
      <c r="B118" s="576"/>
      <c r="C118" s="576"/>
      <c r="D118" s="576"/>
      <c r="E118" s="577"/>
      <c r="F118" s="577"/>
      <c r="G118" s="576"/>
      <c r="I118" s="567"/>
      <c r="J118" s="567"/>
      <c r="K118" s="567"/>
      <c r="N118" s="578"/>
      <c r="O118" s="578"/>
      <c r="P118" s="578"/>
      <c r="Q118" s="578"/>
      <c r="R118" s="578"/>
      <c r="S118" s="578"/>
      <c r="T118" s="579"/>
      <c r="W118" s="580"/>
      <c r="X118" s="580"/>
      <c r="Y118" s="580"/>
      <c r="Z118" s="580"/>
      <c r="AA118" s="580"/>
      <c r="AB118" s="580"/>
      <c r="AC118" s="580"/>
    </row>
    <row r="119" spans="1:98" ht="12" customHeight="1">
      <c r="A119" s="556" t="s">
        <v>195</v>
      </c>
      <c r="B119" s="576">
        <v>5296743300</v>
      </c>
      <c r="C119" s="576">
        <v>4843063816</v>
      </c>
      <c r="D119" s="576">
        <v>7876027900</v>
      </c>
      <c r="E119" s="577">
        <v>13172771200</v>
      </c>
      <c r="F119" s="577">
        <v>12719091716</v>
      </c>
      <c r="G119" s="576">
        <v>137366190.53</v>
      </c>
      <c r="H119" s="557">
        <v>2011</v>
      </c>
      <c r="I119" s="571"/>
      <c r="J119" s="571"/>
      <c r="K119" s="571"/>
      <c r="N119" s="578"/>
      <c r="O119" s="578"/>
      <c r="P119" s="578"/>
      <c r="Q119" s="578"/>
      <c r="R119" s="578"/>
      <c r="S119" s="578"/>
      <c r="T119" s="579"/>
      <c r="W119" s="580"/>
      <c r="X119" s="580"/>
      <c r="Y119" s="580"/>
      <c r="Z119" s="580"/>
      <c r="AA119" s="580"/>
      <c r="AB119" s="580"/>
      <c r="AC119" s="580"/>
    </row>
    <row r="120" spans="1:98" s="567" customFormat="1" ht="12" customHeight="1">
      <c r="A120" s="567" t="s">
        <v>197</v>
      </c>
      <c r="B120" s="581">
        <v>460244400</v>
      </c>
      <c r="C120" s="581">
        <v>460244400</v>
      </c>
      <c r="D120" s="581">
        <v>415739900</v>
      </c>
      <c r="E120" s="582">
        <v>875984300</v>
      </c>
      <c r="F120" s="582">
        <v>875984300</v>
      </c>
      <c r="G120" s="581">
        <v>6394685.3899999997</v>
      </c>
      <c r="H120" s="570">
        <v>2011</v>
      </c>
      <c r="I120" s="571"/>
      <c r="J120" s="571"/>
      <c r="K120" s="571"/>
      <c r="L120" s="572"/>
      <c r="M120" s="572"/>
      <c r="N120" s="583"/>
      <c r="O120" s="583"/>
      <c r="P120" s="583"/>
      <c r="Q120" s="583"/>
      <c r="R120" s="583"/>
      <c r="S120" s="583"/>
      <c r="T120" s="574"/>
      <c r="U120" s="572"/>
      <c r="V120" s="572"/>
      <c r="W120" s="575"/>
      <c r="X120" s="575"/>
      <c r="Y120" s="575"/>
      <c r="Z120" s="575"/>
      <c r="AA120" s="575"/>
      <c r="AB120" s="575"/>
      <c r="AC120" s="575"/>
      <c r="AD120" s="572"/>
      <c r="AE120" s="572"/>
      <c r="AF120" s="572"/>
      <c r="AG120" s="572"/>
      <c r="AH120" s="572"/>
      <c r="AI120" s="572"/>
      <c r="AJ120" s="572"/>
      <c r="AK120" s="572"/>
      <c r="AL120" s="572"/>
      <c r="AM120" s="572"/>
      <c r="AN120" s="572"/>
      <c r="AO120" s="572"/>
      <c r="AP120" s="572"/>
      <c r="AQ120" s="572"/>
      <c r="AR120" s="572"/>
      <c r="AS120" s="572"/>
      <c r="AT120" s="572"/>
      <c r="AU120" s="572"/>
      <c r="AV120" s="572"/>
      <c r="AW120" s="572"/>
      <c r="AX120" s="572"/>
      <c r="AY120" s="572"/>
      <c r="AZ120" s="572"/>
      <c r="BA120" s="572"/>
      <c r="BB120" s="572"/>
      <c r="BC120" s="572"/>
      <c r="BD120" s="572"/>
      <c r="BE120" s="572"/>
      <c r="BF120" s="572"/>
      <c r="BG120" s="572"/>
      <c r="BH120" s="572"/>
      <c r="BI120" s="572"/>
      <c r="BJ120" s="572"/>
      <c r="BK120" s="572"/>
      <c r="BL120" s="572"/>
      <c r="BM120" s="572"/>
      <c r="BN120" s="572"/>
      <c r="BO120" s="572"/>
      <c r="BP120" s="572"/>
      <c r="BQ120" s="572"/>
      <c r="BR120" s="572"/>
      <c r="BS120" s="572"/>
      <c r="BT120" s="572"/>
      <c r="BU120" s="572"/>
      <c r="BV120" s="572"/>
      <c r="BW120" s="572"/>
      <c r="BX120" s="572"/>
      <c r="BY120" s="572"/>
      <c r="BZ120" s="572"/>
      <c r="CA120" s="572"/>
      <c r="CB120" s="572"/>
      <c r="CC120" s="572"/>
      <c r="CD120" s="572"/>
      <c r="CE120" s="572"/>
      <c r="CF120" s="572"/>
      <c r="CG120" s="572"/>
      <c r="CH120" s="572"/>
      <c r="CI120" s="572"/>
      <c r="CJ120" s="572"/>
      <c r="CK120" s="572"/>
      <c r="CL120" s="572"/>
      <c r="CM120" s="572"/>
      <c r="CN120" s="572"/>
      <c r="CO120" s="572"/>
      <c r="CP120" s="572"/>
      <c r="CQ120" s="572"/>
      <c r="CR120" s="572"/>
      <c r="CS120" s="572"/>
      <c r="CT120" s="572"/>
    </row>
    <row r="121" spans="1:98" ht="12" customHeight="1">
      <c r="A121" s="556" t="s">
        <v>199</v>
      </c>
      <c r="B121" s="576">
        <v>389848000</v>
      </c>
      <c r="C121" s="576">
        <v>389848000</v>
      </c>
      <c r="D121" s="576">
        <v>390576063</v>
      </c>
      <c r="E121" s="577">
        <v>780424063</v>
      </c>
      <c r="F121" s="577">
        <v>780424063</v>
      </c>
      <c r="G121" s="576">
        <v>4214289.9402000001</v>
      </c>
      <c r="H121" s="557">
        <v>2011</v>
      </c>
      <c r="I121" s="571"/>
      <c r="J121" s="571"/>
      <c r="K121" s="571"/>
      <c r="N121" s="578"/>
      <c r="O121" s="578"/>
      <c r="P121" s="578"/>
      <c r="Q121" s="578"/>
      <c r="R121" s="578"/>
      <c r="S121" s="578"/>
      <c r="T121" s="579"/>
      <c r="W121" s="580"/>
      <c r="X121" s="580"/>
      <c r="Y121" s="580"/>
      <c r="Z121" s="580"/>
      <c r="AA121" s="580"/>
      <c r="AB121" s="580"/>
      <c r="AC121" s="580"/>
    </row>
    <row r="122" spans="1:98" ht="12" customHeight="1">
      <c r="A122" s="556" t="s">
        <v>201</v>
      </c>
      <c r="B122" s="576">
        <v>665168200</v>
      </c>
      <c r="C122" s="576">
        <v>573175800</v>
      </c>
      <c r="D122" s="576">
        <v>1751355200</v>
      </c>
      <c r="E122" s="577">
        <v>2416523400</v>
      </c>
      <c r="F122" s="577">
        <v>2324531000</v>
      </c>
      <c r="G122" s="576">
        <v>13482279.799999999</v>
      </c>
      <c r="H122" s="557">
        <v>2011</v>
      </c>
      <c r="I122" s="571"/>
      <c r="J122" s="571"/>
      <c r="K122" s="571"/>
      <c r="N122" s="578"/>
      <c r="O122" s="578"/>
      <c r="P122" s="578"/>
      <c r="Q122" s="578"/>
      <c r="R122" s="578"/>
      <c r="S122" s="578"/>
      <c r="T122" s="579"/>
      <c r="W122" s="580"/>
      <c r="X122" s="580"/>
      <c r="Y122" s="580"/>
      <c r="Z122" s="580"/>
      <c r="AA122" s="580"/>
      <c r="AB122" s="580"/>
      <c r="AC122" s="580"/>
    </row>
    <row r="123" spans="1:98" ht="12" customHeight="1">
      <c r="A123" s="556" t="s">
        <v>203</v>
      </c>
      <c r="B123" s="576">
        <v>1574457500</v>
      </c>
      <c r="C123" s="576">
        <v>1246471800</v>
      </c>
      <c r="D123" s="576">
        <v>2536943300</v>
      </c>
      <c r="E123" s="577">
        <v>4111400800</v>
      </c>
      <c r="F123" s="577">
        <v>3783415100</v>
      </c>
      <c r="G123" s="576">
        <v>22322149.09</v>
      </c>
      <c r="H123" s="557">
        <v>2011</v>
      </c>
      <c r="I123" s="571"/>
      <c r="J123" s="571"/>
      <c r="K123" s="571"/>
      <c r="N123" s="584"/>
      <c r="O123" s="584"/>
      <c r="P123" s="584"/>
      <c r="S123" s="584"/>
      <c r="T123" s="579"/>
      <c r="W123" s="580"/>
      <c r="X123" s="580"/>
      <c r="Y123" s="580"/>
      <c r="Z123" s="580"/>
      <c r="AA123" s="580"/>
      <c r="AB123" s="580"/>
      <c r="AC123" s="580"/>
    </row>
    <row r="124" spans="1:98" ht="15">
      <c r="A124" s="555" t="s">
        <v>997</v>
      </c>
      <c r="I124" s="567"/>
      <c r="J124" s="567"/>
      <c r="K124" s="567"/>
      <c r="N124" s="578"/>
      <c r="O124" s="578"/>
      <c r="P124" s="578"/>
      <c r="Q124" s="578"/>
      <c r="R124" s="578"/>
      <c r="S124" s="578"/>
      <c r="T124" s="579"/>
      <c r="W124" s="580"/>
      <c r="X124" s="580"/>
      <c r="Y124" s="580"/>
      <c r="Z124" s="580"/>
      <c r="AA124" s="580"/>
      <c r="AB124" s="580"/>
      <c r="AC124" s="580"/>
    </row>
    <row r="125" spans="1:98" ht="12.75">
      <c r="A125" s="1082" t="s">
        <v>1068</v>
      </c>
      <c r="B125" s="1083"/>
      <c r="C125" s="1083"/>
      <c r="D125" s="1083"/>
      <c r="E125" s="1083"/>
      <c r="F125" s="1083"/>
      <c r="G125" s="1083"/>
      <c r="H125" s="1083"/>
      <c r="I125" s="567"/>
      <c r="J125" s="567"/>
      <c r="K125" s="567"/>
      <c r="N125" s="578"/>
      <c r="O125" s="578"/>
      <c r="P125" s="578"/>
      <c r="Q125" s="578"/>
      <c r="R125" s="578"/>
      <c r="S125" s="578"/>
      <c r="T125" s="579"/>
      <c r="W125" s="580"/>
      <c r="X125" s="580"/>
      <c r="Y125" s="580"/>
      <c r="Z125" s="580"/>
      <c r="AA125" s="580"/>
      <c r="AB125" s="580"/>
      <c r="AC125" s="580"/>
    </row>
    <row r="126" spans="1:98" ht="11.25" customHeight="1" thickBot="1">
      <c r="A126" s="562"/>
      <c r="B126" s="562"/>
      <c r="C126" s="562"/>
      <c r="D126" s="562"/>
      <c r="E126" s="562"/>
      <c r="F126" s="562"/>
      <c r="G126" s="562"/>
      <c r="H126" s="562"/>
      <c r="I126" s="567"/>
      <c r="J126" s="567"/>
      <c r="K126" s="567"/>
      <c r="N126" s="578"/>
      <c r="O126" s="578"/>
      <c r="P126" s="578"/>
      <c r="Q126" s="578"/>
      <c r="R126" s="578"/>
      <c r="S126" s="578"/>
      <c r="T126" s="579"/>
      <c r="W126" s="580"/>
      <c r="X126" s="580"/>
      <c r="Y126" s="580"/>
      <c r="Z126" s="580"/>
      <c r="AA126" s="580"/>
      <c r="AB126" s="580"/>
      <c r="AC126" s="580"/>
    </row>
    <row r="127" spans="1:98" ht="11.25" customHeight="1">
      <c r="I127" s="567"/>
      <c r="J127" s="567"/>
      <c r="K127" s="567"/>
      <c r="N127" s="578"/>
      <c r="O127" s="578"/>
      <c r="P127" s="578"/>
      <c r="Q127" s="578"/>
      <c r="R127" s="578"/>
      <c r="S127" s="578"/>
      <c r="T127" s="579"/>
      <c r="W127" s="580"/>
      <c r="X127" s="580"/>
      <c r="Y127" s="580"/>
      <c r="Z127" s="580"/>
      <c r="AA127" s="580"/>
      <c r="AB127" s="580"/>
      <c r="AC127" s="580"/>
    </row>
    <row r="128" spans="1:98" ht="11.25" customHeight="1">
      <c r="A128" s="563" t="s">
        <v>33</v>
      </c>
      <c r="B128" s="563" t="s">
        <v>934</v>
      </c>
      <c r="C128" s="563" t="s">
        <v>935</v>
      </c>
      <c r="D128" s="563" t="s">
        <v>936</v>
      </c>
      <c r="E128" s="563" t="s">
        <v>937</v>
      </c>
      <c r="F128" s="563" t="s">
        <v>938</v>
      </c>
      <c r="G128" s="563" t="s">
        <v>939</v>
      </c>
      <c r="H128" s="564" t="s">
        <v>940</v>
      </c>
      <c r="I128" s="567"/>
      <c r="J128" s="567"/>
      <c r="K128" s="567"/>
      <c r="N128" s="578"/>
      <c r="O128" s="578"/>
      <c r="P128" s="578"/>
      <c r="Q128" s="578"/>
      <c r="R128" s="578"/>
      <c r="S128" s="578"/>
      <c r="T128" s="579"/>
      <c r="W128" s="580"/>
      <c r="X128" s="580"/>
      <c r="Y128" s="580"/>
      <c r="Z128" s="580"/>
      <c r="AA128" s="580"/>
      <c r="AB128" s="580"/>
      <c r="AC128" s="580"/>
    </row>
    <row r="129" spans="1:98" ht="8.25" customHeight="1">
      <c r="B129" s="576"/>
      <c r="C129" s="576"/>
      <c r="D129" s="576"/>
      <c r="E129" s="577"/>
      <c r="F129" s="577"/>
      <c r="G129" s="576"/>
      <c r="I129" s="567"/>
      <c r="J129" s="567"/>
      <c r="K129" s="567"/>
      <c r="N129" s="578"/>
      <c r="O129" s="578"/>
      <c r="P129" s="578"/>
      <c r="Q129" s="578"/>
      <c r="R129" s="578"/>
      <c r="S129" s="578"/>
      <c r="T129" s="579"/>
      <c r="W129" s="580"/>
      <c r="X129" s="580"/>
      <c r="Y129" s="580"/>
      <c r="Z129" s="580"/>
      <c r="AA129" s="580"/>
      <c r="AB129" s="580"/>
      <c r="AC129" s="580"/>
    </row>
    <row r="130" spans="1:98" s="567" customFormat="1">
      <c r="A130" s="567" t="s">
        <v>205</v>
      </c>
      <c r="B130" s="568">
        <v>1881012500</v>
      </c>
      <c r="C130" s="568">
        <v>1196484100</v>
      </c>
      <c r="D130" s="568">
        <v>2526264600</v>
      </c>
      <c r="E130" s="569">
        <v>4407277100</v>
      </c>
      <c r="F130" s="569">
        <v>3722748700</v>
      </c>
      <c r="G130" s="568">
        <v>21591942.459999997</v>
      </c>
      <c r="H130" s="570">
        <v>2011</v>
      </c>
      <c r="I130" s="571"/>
      <c r="J130" s="571"/>
      <c r="K130" s="571"/>
      <c r="L130" s="572"/>
      <c r="M130" s="572"/>
      <c r="N130" s="583"/>
      <c r="O130" s="583"/>
      <c r="P130" s="583"/>
      <c r="Q130" s="583"/>
      <c r="R130" s="583"/>
      <c r="S130" s="583"/>
      <c r="T130" s="574"/>
      <c r="U130" s="572"/>
      <c r="V130" s="572"/>
      <c r="W130" s="575"/>
      <c r="X130" s="575"/>
      <c r="Y130" s="575"/>
      <c r="Z130" s="575"/>
      <c r="AA130" s="575"/>
      <c r="AB130" s="575"/>
      <c r="AC130" s="575"/>
      <c r="AD130" s="572"/>
      <c r="AE130" s="572"/>
      <c r="AF130" s="572"/>
      <c r="AG130" s="572"/>
      <c r="AH130" s="572"/>
      <c r="AI130" s="572"/>
      <c r="AJ130" s="572"/>
      <c r="AK130" s="572"/>
      <c r="AL130" s="572"/>
      <c r="AM130" s="572"/>
      <c r="AN130" s="572"/>
      <c r="AO130" s="572"/>
      <c r="AP130" s="572"/>
      <c r="AQ130" s="572"/>
      <c r="AR130" s="572"/>
      <c r="AS130" s="572"/>
      <c r="AT130" s="572"/>
      <c r="AU130" s="572"/>
      <c r="AV130" s="572"/>
      <c r="AW130" s="572"/>
      <c r="AX130" s="572"/>
      <c r="AY130" s="572"/>
      <c r="AZ130" s="572"/>
      <c r="BA130" s="572"/>
      <c r="BB130" s="572"/>
      <c r="BC130" s="572"/>
      <c r="BD130" s="572"/>
      <c r="BE130" s="572"/>
      <c r="BF130" s="572"/>
      <c r="BG130" s="572"/>
      <c r="BH130" s="572"/>
      <c r="BI130" s="572"/>
      <c r="BJ130" s="572"/>
      <c r="BK130" s="572"/>
      <c r="BL130" s="572"/>
      <c r="BM130" s="572"/>
      <c r="BN130" s="572"/>
      <c r="BO130" s="572"/>
      <c r="BP130" s="572"/>
      <c r="BQ130" s="572"/>
      <c r="BR130" s="572"/>
      <c r="BS130" s="572"/>
      <c r="BT130" s="572"/>
      <c r="BU130" s="572"/>
      <c r="BV130" s="572"/>
      <c r="BW130" s="572"/>
      <c r="BX130" s="572"/>
      <c r="BY130" s="572"/>
      <c r="BZ130" s="572"/>
      <c r="CA130" s="572"/>
      <c r="CB130" s="572"/>
      <c r="CC130" s="572"/>
      <c r="CD130" s="572"/>
      <c r="CE130" s="572"/>
      <c r="CF130" s="572"/>
      <c r="CG130" s="572"/>
      <c r="CH130" s="572"/>
      <c r="CI130" s="572"/>
      <c r="CJ130" s="572"/>
      <c r="CK130" s="572"/>
      <c r="CL130" s="572"/>
      <c r="CM130" s="572"/>
      <c r="CN130" s="572"/>
      <c r="CO130" s="572"/>
      <c r="CP130" s="572"/>
      <c r="CQ130" s="572"/>
      <c r="CR130" s="572"/>
      <c r="CS130" s="572"/>
      <c r="CT130" s="572"/>
    </row>
    <row r="131" spans="1:98">
      <c r="A131" s="556" t="s">
        <v>207</v>
      </c>
      <c r="B131" s="576">
        <v>1210496400</v>
      </c>
      <c r="C131" s="576">
        <v>1075410420</v>
      </c>
      <c r="D131" s="576">
        <v>1400528700</v>
      </c>
      <c r="E131" s="577">
        <v>2611025100</v>
      </c>
      <c r="F131" s="577">
        <v>2475939120</v>
      </c>
      <c r="G131" s="576">
        <v>11389319.952</v>
      </c>
      <c r="H131" s="557">
        <v>2011</v>
      </c>
      <c r="I131" s="571"/>
      <c r="J131" s="571"/>
      <c r="K131" s="571"/>
      <c r="N131" s="578"/>
      <c r="O131" s="578"/>
      <c r="P131" s="578"/>
      <c r="Q131" s="578"/>
      <c r="R131" s="578"/>
      <c r="S131" s="578"/>
      <c r="T131" s="579"/>
      <c r="W131" s="580"/>
      <c r="X131" s="580"/>
      <c r="Y131" s="580"/>
      <c r="Z131" s="580"/>
      <c r="AA131" s="580"/>
      <c r="AB131" s="580"/>
      <c r="AC131" s="580"/>
    </row>
    <row r="132" spans="1:98">
      <c r="A132" s="556" t="s">
        <v>209</v>
      </c>
      <c r="B132" s="576">
        <v>498515660</v>
      </c>
      <c r="C132" s="576">
        <v>495478816</v>
      </c>
      <c r="D132" s="576">
        <v>1541392500</v>
      </c>
      <c r="E132" s="577">
        <v>2039908160</v>
      </c>
      <c r="F132" s="577">
        <v>2036871316</v>
      </c>
      <c r="G132" s="576">
        <v>11610166.5012</v>
      </c>
      <c r="H132" s="557">
        <v>2011</v>
      </c>
      <c r="I132" s="571"/>
      <c r="J132" s="571"/>
      <c r="K132" s="571"/>
      <c r="N132" s="578"/>
      <c r="O132" s="578"/>
      <c r="P132" s="578"/>
      <c r="Q132" s="578"/>
      <c r="R132" s="578"/>
      <c r="S132" s="578"/>
      <c r="T132" s="579"/>
      <c r="W132" s="580"/>
      <c r="X132" s="580"/>
      <c r="Y132" s="580"/>
      <c r="Z132" s="580"/>
      <c r="AA132" s="580"/>
      <c r="AB132" s="580"/>
      <c r="AC132" s="580"/>
    </row>
    <row r="133" spans="1:98">
      <c r="A133" s="556" t="s">
        <v>211</v>
      </c>
      <c r="B133" s="576">
        <v>1050869700</v>
      </c>
      <c r="C133" s="576">
        <v>801210141</v>
      </c>
      <c r="D133" s="576">
        <v>1434223100</v>
      </c>
      <c r="E133" s="577">
        <v>2485092800</v>
      </c>
      <c r="F133" s="577">
        <v>2235433241</v>
      </c>
      <c r="G133" s="576">
        <v>9835906.260400001</v>
      </c>
      <c r="H133" s="557">
        <v>2011</v>
      </c>
      <c r="I133" s="571"/>
      <c r="J133" s="571"/>
      <c r="K133" s="571"/>
      <c r="N133" s="578"/>
      <c r="O133" s="578"/>
      <c r="P133" s="578"/>
      <c r="Q133" s="578"/>
      <c r="R133" s="578"/>
      <c r="S133" s="578"/>
      <c r="T133" s="579"/>
      <c r="W133" s="580"/>
      <c r="X133" s="580"/>
      <c r="Y133" s="580"/>
      <c r="Z133" s="580"/>
      <c r="AA133" s="580"/>
      <c r="AB133" s="580"/>
      <c r="AC133" s="580"/>
    </row>
    <row r="134" spans="1:98">
      <c r="A134" s="556" t="s">
        <v>213</v>
      </c>
      <c r="B134" s="576">
        <v>3458974242</v>
      </c>
      <c r="C134" s="576">
        <v>3428498342</v>
      </c>
      <c r="D134" s="576">
        <v>5539057100</v>
      </c>
      <c r="E134" s="577">
        <v>8998031342</v>
      </c>
      <c r="F134" s="577">
        <v>8967555442</v>
      </c>
      <c r="G134" s="576">
        <v>58961677.031149998</v>
      </c>
      <c r="H134" s="557">
        <v>2011</v>
      </c>
      <c r="I134" s="571"/>
      <c r="J134" s="571"/>
      <c r="K134" s="571"/>
      <c r="O134" s="584"/>
      <c r="P134" s="584"/>
      <c r="T134" s="579"/>
      <c r="W134" s="580"/>
      <c r="X134" s="580"/>
      <c r="Y134" s="580"/>
      <c r="Z134" s="580"/>
      <c r="AA134" s="580"/>
      <c r="AB134" s="580"/>
      <c r="AC134" s="580"/>
    </row>
    <row r="135" spans="1:98">
      <c r="C135" s="593"/>
      <c r="D135" s="593"/>
      <c r="I135" s="567"/>
      <c r="J135" s="567"/>
      <c r="K135" s="567"/>
      <c r="O135" s="584"/>
      <c r="P135" s="584"/>
      <c r="T135" s="579"/>
      <c r="W135" s="580"/>
      <c r="X135" s="580"/>
      <c r="Y135" s="580"/>
      <c r="Z135" s="580"/>
      <c r="AA135" s="580"/>
      <c r="AB135" s="580"/>
      <c r="AC135" s="580"/>
    </row>
    <row r="136" spans="1:98" s="601" customFormat="1" ht="12.75" customHeight="1">
      <c r="A136" s="594" t="s">
        <v>34</v>
      </c>
      <c r="B136" s="595">
        <f t="shared" ref="B136:F136" si="0">SUM(B7:B134)</f>
        <v>286081852933</v>
      </c>
      <c r="C136" s="595">
        <f>SUM(C7:C134)</f>
        <v>257501340602</v>
      </c>
      <c r="D136" s="595">
        <f t="shared" si="0"/>
        <v>444104875451</v>
      </c>
      <c r="E136" s="595">
        <f t="shared" si="0"/>
        <v>730186728384</v>
      </c>
      <c r="F136" s="595">
        <f t="shared" si="0"/>
        <v>701606216053</v>
      </c>
      <c r="G136" s="595">
        <f>SUM(G7:G134)</f>
        <v>6278774843.720746</v>
      </c>
      <c r="H136" s="596"/>
      <c r="I136" s="597"/>
      <c r="J136" s="597"/>
      <c r="K136" s="597"/>
      <c r="L136" s="598"/>
      <c r="M136" s="599"/>
      <c r="N136" s="600"/>
      <c r="O136" s="600"/>
      <c r="P136" s="600"/>
      <c r="Q136" s="600"/>
      <c r="R136" s="600"/>
      <c r="S136" s="600"/>
      <c r="T136" s="599"/>
      <c r="U136" s="598"/>
      <c r="V136" s="558"/>
      <c r="W136" s="580"/>
      <c r="X136" s="580"/>
      <c r="Y136" s="580"/>
      <c r="Z136" s="580"/>
      <c r="AA136" s="580"/>
      <c r="AB136" s="580"/>
      <c r="AC136" s="580"/>
      <c r="AD136" s="598"/>
      <c r="AE136" s="598"/>
      <c r="AF136" s="598"/>
      <c r="AG136" s="598"/>
      <c r="AH136" s="598"/>
      <c r="AI136" s="598"/>
      <c r="AJ136" s="598"/>
      <c r="AK136" s="598"/>
      <c r="AL136" s="598"/>
      <c r="AM136" s="598"/>
      <c r="AN136" s="598"/>
      <c r="AO136" s="598"/>
      <c r="AP136" s="598"/>
      <c r="AQ136" s="598"/>
      <c r="AR136" s="598"/>
      <c r="AS136" s="598"/>
      <c r="AT136" s="598"/>
      <c r="AU136" s="598"/>
      <c r="AV136" s="598"/>
      <c r="AW136" s="598"/>
      <c r="AX136" s="598"/>
      <c r="AY136" s="598"/>
      <c r="AZ136" s="598"/>
      <c r="BA136" s="598"/>
      <c r="BB136" s="598"/>
      <c r="BC136" s="598"/>
      <c r="BD136" s="598"/>
      <c r="BE136" s="598"/>
      <c r="BF136" s="598"/>
      <c r="BG136" s="598"/>
      <c r="BH136" s="598"/>
      <c r="BI136" s="598"/>
      <c r="BJ136" s="598"/>
      <c r="BK136" s="598"/>
      <c r="BL136" s="598"/>
      <c r="BM136" s="598"/>
      <c r="BN136" s="598"/>
      <c r="BO136" s="598"/>
      <c r="BP136" s="598"/>
      <c r="BQ136" s="598"/>
      <c r="BR136" s="598"/>
      <c r="BS136" s="598"/>
      <c r="BT136" s="598"/>
      <c r="BU136" s="598"/>
      <c r="BV136" s="598"/>
      <c r="BW136" s="598"/>
      <c r="BX136" s="598"/>
      <c r="BY136" s="598"/>
      <c r="BZ136" s="598"/>
      <c r="CA136" s="598"/>
      <c r="CB136" s="598"/>
      <c r="CC136" s="598"/>
      <c r="CD136" s="598"/>
      <c r="CE136" s="598"/>
      <c r="CF136" s="598"/>
      <c r="CG136" s="598"/>
      <c r="CH136" s="598"/>
      <c r="CI136" s="598"/>
      <c r="CJ136" s="598"/>
      <c r="CK136" s="598"/>
      <c r="CL136" s="598"/>
      <c r="CM136" s="598"/>
      <c r="CN136" s="598"/>
      <c r="CO136" s="598"/>
      <c r="CP136" s="598"/>
      <c r="CQ136" s="598"/>
      <c r="CR136" s="598"/>
      <c r="CS136" s="598"/>
      <c r="CT136" s="598"/>
    </row>
    <row r="137" spans="1:98">
      <c r="I137" s="567"/>
      <c r="J137" s="567"/>
      <c r="K137" s="567"/>
      <c r="T137" s="579"/>
      <c r="W137" s="580"/>
      <c r="X137" s="580"/>
      <c r="Y137" s="580"/>
      <c r="Z137" s="580"/>
      <c r="AA137" s="580"/>
      <c r="AB137" s="580"/>
      <c r="AC137" s="580"/>
    </row>
    <row r="138" spans="1:98" ht="12.75" thickBot="1">
      <c r="B138" s="588"/>
      <c r="C138" s="588"/>
      <c r="D138" s="588"/>
      <c r="E138" s="588"/>
      <c r="F138" s="588"/>
      <c r="G138" s="588"/>
      <c r="I138" s="567"/>
      <c r="J138" s="567"/>
      <c r="K138" s="567"/>
      <c r="N138" s="602"/>
      <c r="O138" s="602"/>
      <c r="P138" s="602"/>
      <c r="Q138" s="602"/>
      <c r="R138" s="602"/>
      <c r="S138" s="602"/>
      <c r="T138" s="579"/>
      <c r="W138" s="580"/>
      <c r="X138" s="580"/>
      <c r="Y138" s="580"/>
      <c r="Z138" s="580"/>
      <c r="AA138" s="580"/>
      <c r="AB138" s="580"/>
      <c r="AC138" s="580"/>
    </row>
    <row r="139" spans="1:98">
      <c r="A139" s="603"/>
      <c r="B139" s="603"/>
      <c r="C139" s="603"/>
      <c r="D139" s="603"/>
      <c r="E139" s="603"/>
      <c r="F139" s="603"/>
      <c r="G139" s="603"/>
      <c r="H139" s="604"/>
      <c r="I139" s="567"/>
      <c r="J139" s="567"/>
      <c r="K139" s="567"/>
      <c r="W139" s="580"/>
      <c r="X139" s="580"/>
      <c r="Y139" s="580"/>
      <c r="Z139" s="580"/>
      <c r="AA139" s="580"/>
      <c r="AB139" s="580"/>
      <c r="AC139" s="580"/>
    </row>
    <row r="140" spans="1:98" s="606" customFormat="1">
      <c r="A140" s="563" t="s">
        <v>35</v>
      </c>
      <c r="B140" s="563" t="s">
        <v>934</v>
      </c>
      <c r="C140" s="563" t="s">
        <v>935</v>
      </c>
      <c r="D140" s="563" t="s">
        <v>936</v>
      </c>
      <c r="E140" s="563" t="s">
        <v>937</v>
      </c>
      <c r="F140" s="563" t="s">
        <v>938</v>
      </c>
      <c r="G140" s="563" t="s">
        <v>939</v>
      </c>
      <c r="H140" s="564" t="s">
        <v>940</v>
      </c>
      <c r="I140" s="605"/>
      <c r="J140" s="605"/>
      <c r="K140" s="605"/>
      <c r="L140" s="559"/>
      <c r="M140" s="566"/>
      <c r="N140" s="566"/>
      <c r="O140" s="566"/>
      <c r="P140" s="566"/>
      <c r="Q140" s="566"/>
      <c r="R140" s="566"/>
      <c r="S140" s="566"/>
      <c r="T140" s="566"/>
      <c r="U140" s="559"/>
      <c r="V140" s="558"/>
      <c r="W140" s="580"/>
      <c r="X140" s="580"/>
      <c r="Y140" s="580"/>
      <c r="Z140" s="580"/>
      <c r="AA140" s="580"/>
      <c r="AB140" s="580"/>
      <c r="AC140" s="580"/>
      <c r="AD140" s="559"/>
      <c r="AE140" s="559"/>
      <c r="AF140" s="559"/>
      <c r="AG140" s="559"/>
      <c r="AH140" s="559"/>
      <c r="AI140" s="559"/>
      <c r="AJ140" s="559"/>
      <c r="AK140" s="559"/>
      <c r="AL140" s="559"/>
      <c r="AM140" s="559"/>
      <c r="AN140" s="559"/>
      <c r="AO140" s="559"/>
      <c r="AP140" s="559"/>
      <c r="AQ140" s="559"/>
      <c r="AR140" s="559"/>
      <c r="AS140" s="559"/>
      <c r="AT140" s="559"/>
      <c r="AU140" s="559"/>
      <c r="AV140" s="559"/>
      <c r="AW140" s="559"/>
      <c r="AX140" s="559"/>
      <c r="AY140" s="559"/>
      <c r="AZ140" s="559"/>
      <c r="BA140" s="559"/>
      <c r="BB140" s="559"/>
      <c r="BC140" s="559"/>
      <c r="BD140" s="559"/>
      <c r="BE140" s="559"/>
      <c r="BF140" s="559"/>
      <c r="BG140" s="559"/>
      <c r="BH140" s="559"/>
      <c r="BI140" s="559"/>
      <c r="BJ140" s="559"/>
      <c r="BK140" s="559"/>
      <c r="BL140" s="559"/>
      <c r="BM140" s="559"/>
      <c r="BN140" s="559"/>
      <c r="BO140" s="559"/>
      <c r="BP140" s="559"/>
      <c r="BQ140" s="559"/>
      <c r="BR140" s="559"/>
      <c r="BS140" s="559"/>
      <c r="BT140" s="559"/>
      <c r="BU140" s="559"/>
      <c r="BV140" s="559"/>
      <c r="BW140" s="559"/>
      <c r="BX140" s="559"/>
      <c r="BY140" s="559"/>
      <c r="BZ140" s="559"/>
      <c r="CA140" s="559"/>
      <c r="CB140" s="559"/>
      <c r="CC140" s="559"/>
      <c r="CD140" s="559"/>
      <c r="CE140" s="559"/>
      <c r="CF140" s="559"/>
      <c r="CG140" s="559"/>
      <c r="CH140" s="559"/>
      <c r="CI140" s="559"/>
      <c r="CJ140" s="559"/>
      <c r="CK140" s="559"/>
      <c r="CL140" s="559"/>
      <c r="CM140" s="559"/>
      <c r="CN140" s="559"/>
      <c r="CO140" s="559"/>
      <c r="CP140" s="559"/>
      <c r="CQ140" s="559"/>
      <c r="CR140" s="559"/>
      <c r="CS140" s="559"/>
      <c r="CT140" s="559"/>
    </row>
    <row r="141" spans="1:98" s="606" customFormat="1" ht="8.25" customHeight="1">
      <c r="A141" s="566"/>
      <c r="B141" s="566"/>
      <c r="C141" s="566"/>
      <c r="D141" s="566"/>
      <c r="E141" s="566"/>
      <c r="F141" s="566"/>
      <c r="G141" s="566"/>
      <c r="H141" s="607"/>
      <c r="I141" s="605"/>
      <c r="J141" s="605"/>
      <c r="K141" s="605"/>
      <c r="L141" s="559"/>
      <c r="M141" s="566"/>
      <c r="N141" s="566"/>
      <c r="O141" s="566"/>
      <c r="P141" s="566"/>
      <c r="Q141" s="566"/>
      <c r="R141" s="566"/>
      <c r="S141" s="566"/>
      <c r="T141" s="566"/>
      <c r="U141" s="559"/>
      <c r="V141" s="558"/>
      <c r="W141" s="580"/>
      <c r="X141" s="580"/>
      <c r="Y141" s="580"/>
      <c r="Z141" s="580"/>
      <c r="AA141" s="580"/>
      <c r="AB141" s="580"/>
      <c r="AC141" s="580"/>
      <c r="AD141" s="559"/>
      <c r="AE141" s="559"/>
      <c r="AF141" s="559"/>
      <c r="AG141" s="559"/>
      <c r="AH141" s="559"/>
      <c r="AI141" s="559"/>
      <c r="AJ141" s="559"/>
      <c r="AK141" s="559"/>
      <c r="AL141" s="559"/>
      <c r="AM141" s="559"/>
      <c r="AN141" s="559"/>
      <c r="AO141" s="559"/>
      <c r="AP141" s="559"/>
      <c r="AQ141" s="559"/>
      <c r="AR141" s="559"/>
      <c r="AS141" s="559"/>
      <c r="AT141" s="559"/>
      <c r="AU141" s="559"/>
      <c r="AV141" s="559"/>
      <c r="AW141" s="559"/>
      <c r="AX141" s="559"/>
      <c r="AY141" s="559"/>
      <c r="AZ141" s="559"/>
      <c r="BA141" s="559"/>
      <c r="BB141" s="559"/>
      <c r="BC141" s="559"/>
      <c r="BD141" s="559"/>
      <c r="BE141" s="559"/>
      <c r="BF141" s="559"/>
      <c r="BG141" s="559"/>
      <c r="BH141" s="559"/>
      <c r="BI141" s="559"/>
      <c r="BJ141" s="559"/>
      <c r="BK141" s="559"/>
      <c r="BL141" s="559"/>
      <c r="BM141" s="559"/>
      <c r="BN141" s="559"/>
      <c r="BO141" s="559"/>
      <c r="BP141" s="559"/>
      <c r="BQ141" s="559"/>
      <c r="BR141" s="559"/>
      <c r="BS141" s="559"/>
      <c r="BT141" s="559"/>
      <c r="BU141" s="559"/>
      <c r="BV141" s="559"/>
      <c r="BW141" s="559"/>
      <c r="BX141" s="559"/>
      <c r="BY141" s="559"/>
      <c r="BZ141" s="559"/>
      <c r="CA141" s="559"/>
      <c r="CB141" s="559"/>
      <c r="CC141" s="559"/>
      <c r="CD141" s="559"/>
      <c r="CE141" s="559"/>
      <c r="CF141" s="559"/>
      <c r="CG141" s="559"/>
      <c r="CH141" s="559"/>
      <c r="CI141" s="559"/>
      <c r="CJ141" s="559"/>
      <c r="CK141" s="559"/>
      <c r="CL141" s="559"/>
      <c r="CM141" s="559"/>
      <c r="CN141" s="559"/>
      <c r="CO141" s="559"/>
      <c r="CP141" s="559"/>
      <c r="CQ141" s="559"/>
      <c r="CR141" s="559"/>
      <c r="CS141" s="559"/>
      <c r="CT141" s="559"/>
    </row>
    <row r="142" spans="1:98" s="567" customFormat="1" ht="12" customHeight="1">
      <c r="A142" s="567" t="s">
        <v>218</v>
      </c>
      <c r="B142" s="568">
        <v>12883984562</v>
      </c>
      <c r="C142" s="568">
        <v>12883984562</v>
      </c>
      <c r="D142" s="568">
        <v>18736537388</v>
      </c>
      <c r="E142" s="569">
        <v>31620521950</v>
      </c>
      <c r="F142" s="569">
        <v>31620521950</v>
      </c>
      <c r="G142" s="568">
        <v>315572809.06099999</v>
      </c>
      <c r="H142" s="570">
        <v>2011</v>
      </c>
      <c r="I142" s="571"/>
      <c r="J142" s="571"/>
      <c r="K142" s="571"/>
      <c r="L142" s="572"/>
      <c r="M142" s="572"/>
      <c r="N142" s="573"/>
      <c r="O142" s="573"/>
      <c r="P142" s="573"/>
      <c r="Q142" s="573"/>
      <c r="R142" s="573"/>
      <c r="S142" s="573"/>
      <c r="T142" s="574"/>
      <c r="U142" s="572"/>
      <c r="V142" s="572"/>
      <c r="W142" s="575"/>
      <c r="X142" s="575"/>
      <c r="Y142" s="575"/>
      <c r="Z142" s="575"/>
      <c r="AA142" s="575"/>
      <c r="AB142" s="575"/>
      <c r="AC142" s="575"/>
      <c r="AD142" s="572"/>
      <c r="AE142" s="572"/>
      <c r="AF142" s="572"/>
      <c r="AG142" s="572"/>
      <c r="AH142" s="572"/>
      <c r="AI142" s="572"/>
      <c r="AJ142" s="572"/>
      <c r="AK142" s="572"/>
      <c r="AL142" s="572"/>
      <c r="AM142" s="572"/>
      <c r="AN142" s="572"/>
      <c r="AO142" s="572"/>
      <c r="AP142" s="572"/>
      <c r="AQ142" s="572"/>
      <c r="AR142" s="572"/>
      <c r="AS142" s="572"/>
      <c r="AT142" s="572"/>
      <c r="AU142" s="572"/>
      <c r="AV142" s="572"/>
      <c r="AW142" s="572"/>
      <c r="AX142" s="572"/>
      <c r="AY142" s="572"/>
      <c r="AZ142" s="572"/>
      <c r="BA142" s="572"/>
      <c r="BB142" s="572"/>
      <c r="BC142" s="572"/>
      <c r="BD142" s="572"/>
      <c r="BE142" s="572"/>
      <c r="BF142" s="572"/>
      <c r="BG142" s="572"/>
      <c r="BH142" s="572"/>
      <c r="BI142" s="572"/>
      <c r="BJ142" s="572"/>
      <c r="BK142" s="572"/>
      <c r="BL142" s="572"/>
      <c r="BM142" s="572"/>
      <c r="BN142" s="572"/>
      <c r="BO142" s="572"/>
      <c r="BP142" s="572"/>
      <c r="BQ142" s="572"/>
      <c r="BR142" s="572"/>
      <c r="BS142" s="572"/>
      <c r="BT142" s="572"/>
      <c r="BU142" s="572"/>
      <c r="BV142" s="572"/>
      <c r="BW142" s="572"/>
      <c r="BX142" s="572"/>
      <c r="BY142" s="572"/>
      <c r="BZ142" s="572"/>
      <c r="CA142" s="572"/>
      <c r="CB142" s="572"/>
      <c r="CC142" s="572"/>
      <c r="CD142" s="572"/>
      <c r="CE142" s="572"/>
      <c r="CF142" s="572"/>
      <c r="CG142" s="572"/>
      <c r="CH142" s="572"/>
      <c r="CI142" s="572"/>
      <c r="CJ142" s="572"/>
      <c r="CK142" s="572"/>
      <c r="CL142" s="572"/>
      <c r="CM142" s="572"/>
      <c r="CN142" s="572"/>
      <c r="CO142" s="572"/>
      <c r="CP142" s="572"/>
      <c r="CQ142" s="572"/>
      <c r="CR142" s="572"/>
      <c r="CS142" s="572"/>
      <c r="CT142" s="572"/>
    </row>
    <row r="143" spans="1:98" ht="11.25" customHeight="1">
      <c r="A143" s="556" t="s">
        <v>117</v>
      </c>
      <c r="B143" s="576">
        <v>103051500</v>
      </c>
      <c r="C143" s="576">
        <v>103051500</v>
      </c>
      <c r="D143" s="576">
        <v>323357000</v>
      </c>
      <c r="E143" s="577">
        <v>426408500</v>
      </c>
      <c r="F143" s="577">
        <v>426408500</v>
      </c>
      <c r="G143" s="576">
        <v>3667113.1</v>
      </c>
      <c r="H143" s="557" t="s">
        <v>1089</v>
      </c>
      <c r="I143" s="571"/>
      <c r="J143" s="571"/>
      <c r="K143" s="571"/>
      <c r="N143" s="578"/>
      <c r="O143" s="578"/>
      <c r="P143" s="578"/>
      <c r="Q143" s="578"/>
      <c r="R143" s="578"/>
      <c r="S143" s="578"/>
      <c r="T143" s="579"/>
      <c r="W143" s="580"/>
      <c r="X143" s="580"/>
      <c r="Y143" s="580"/>
      <c r="Z143" s="580"/>
      <c r="AA143" s="580"/>
      <c r="AB143" s="580"/>
      <c r="AC143" s="580"/>
    </row>
    <row r="144" spans="1:98" s="567" customFormat="1" ht="12" customHeight="1">
      <c r="A144" s="567" t="s">
        <v>220</v>
      </c>
      <c r="B144" s="581">
        <v>277341750</v>
      </c>
      <c r="C144" s="581">
        <v>277341750</v>
      </c>
      <c r="D144" s="581">
        <v>765191900</v>
      </c>
      <c r="E144" s="582">
        <v>1042533650</v>
      </c>
      <c r="F144" s="582">
        <v>1042533650</v>
      </c>
      <c r="G144" s="581">
        <v>9799816</v>
      </c>
      <c r="H144" s="570">
        <v>2011</v>
      </c>
      <c r="I144" s="571"/>
      <c r="J144" s="571"/>
      <c r="K144" s="571"/>
      <c r="L144" s="572"/>
      <c r="M144" s="572"/>
      <c r="N144" s="583"/>
      <c r="O144" s="583"/>
      <c r="P144" s="583"/>
      <c r="Q144" s="583"/>
      <c r="R144" s="583"/>
      <c r="S144" s="583"/>
      <c r="T144" s="574"/>
      <c r="U144" s="572"/>
      <c r="V144" s="572"/>
      <c r="W144" s="575"/>
      <c r="X144" s="575"/>
      <c r="Y144" s="575"/>
      <c r="Z144" s="575"/>
      <c r="AA144" s="575"/>
      <c r="AB144" s="575"/>
      <c r="AC144" s="575"/>
      <c r="AD144" s="572"/>
      <c r="AE144" s="572"/>
      <c r="AF144" s="572"/>
      <c r="AG144" s="572"/>
      <c r="AH144" s="572"/>
      <c r="AI144" s="572"/>
      <c r="AJ144" s="572"/>
      <c r="AK144" s="572"/>
      <c r="AL144" s="572"/>
      <c r="AM144" s="572"/>
      <c r="AN144" s="572"/>
      <c r="AO144" s="572"/>
      <c r="AP144" s="572"/>
      <c r="AQ144" s="572"/>
      <c r="AR144" s="572"/>
      <c r="AS144" s="572"/>
      <c r="AT144" s="572"/>
      <c r="AU144" s="572"/>
      <c r="AV144" s="572"/>
      <c r="AW144" s="572"/>
      <c r="AX144" s="572"/>
      <c r="AY144" s="572"/>
      <c r="AZ144" s="572"/>
      <c r="BA144" s="572"/>
      <c r="BB144" s="572"/>
      <c r="BC144" s="572"/>
      <c r="BD144" s="572"/>
      <c r="BE144" s="572"/>
      <c r="BF144" s="572"/>
      <c r="BG144" s="572"/>
      <c r="BH144" s="572"/>
      <c r="BI144" s="572"/>
      <c r="BJ144" s="572"/>
      <c r="BK144" s="572"/>
      <c r="BL144" s="572"/>
      <c r="BM144" s="572"/>
      <c r="BN144" s="572"/>
      <c r="BO144" s="572"/>
      <c r="BP144" s="572"/>
      <c r="BQ144" s="572"/>
      <c r="BR144" s="572"/>
      <c r="BS144" s="572"/>
      <c r="BT144" s="572"/>
      <c r="BU144" s="572"/>
      <c r="BV144" s="572"/>
      <c r="BW144" s="572"/>
      <c r="BX144" s="572"/>
      <c r="BY144" s="572"/>
      <c r="BZ144" s="572"/>
      <c r="CA144" s="572"/>
      <c r="CB144" s="572"/>
      <c r="CC144" s="572"/>
      <c r="CD144" s="572"/>
      <c r="CE144" s="572"/>
      <c r="CF144" s="572"/>
      <c r="CG144" s="572"/>
      <c r="CH144" s="572"/>
      <c r="CI144" s="572"/>
      <c r="CJ144" s="572"/>
      <c r="CK144" s="572"/>
      <c r="CL144" s="572"/>
      <c r="CM144" s="572"/>
      <c r="CN144" s="572"/>
      <c r="CO144" s="572"/>
      <c r="CP144" s="572"/>
      <c r="CQ144" s="572"/>
      <c r="CR144" s="572"/>
      <c r="CS144" s="572"/>
      <c r="CT144" s="572"/>
    </row>
    <row r="145" spans="1:98" ht="12" customHeight="1">
      <c r="A145" s="556" t="s">
        <v>222</v>
      </c>
      <c r="B145" s="576">
        <v>84279680</v>
      </c>
      <c r="C145" s="576">
        <v>84115080</v>
      </c>
      <c r="D145" s="576">
        <v>314137700</v>
      </c>
      <c r="E145" s="577">
        <v>398417380</v>
      </c>
      <c r="F145" s="577">
        <v>398252780</v>
      </c>
      <c r="G145" s="576">
        <v>3703750.8539999998</v>
      </c>
      <c r="H145" s="557" t="s">
        <v>1089</v>
      </c>
      <c r="I145" s="571"/>
      <c r="J145" s="571"/>
      <c r="K145" s="571"/>
      <c r="N145" s="578"/>
      <c r="O145" s="578"/>
      <c r="P145" s="578"/>
      <c r="Q145" s="578"/>
      <c r="R145" s="578"/>
      <c r="S145" s="578"/>
      <c r="T145" s="579"/>
      <c r="W145" s="580"/>
      <c r="X145" s="580"/>
      <c r="Y145" s="580"/>
      <c r="Z145" s="580"/>
      <c r="AA145" s="580"/>
      <c r="AB145" s="580"/>
      <c r="AC145" s="580"/>
    </row>
    <row r="146" spans="1:98" s="567" customFormat="1" ht="12" customHeight="1">
      <c r="A146" s="567" t="s">
        <v>224</v>
      </c>
      <c r="B146" s="581">
        <v>1435622000</v>
      </c>
      <c r="C146" s="581">
        <v>1435622000</v>
      </c>
      <c r="D146" s="581">
        <v>3787039300</v>
      </c>
      <c r="E146" s="582">
        <v>5222661300</v>
      </c>
      <c r="F146" s="582">
        <v>5222661300</v>
      </c>
      <c r="G146" s="581">
        <v>49615282.349999994</v>
      </c>
      <c r="H146" s="570">
        <v>2011</v>
      </c>
      <c r="I146" s="571"/>
      <c r="J146" s="571"/>
      <c r="K146" s="571"/>
      <c r="L146" s="572"/>
      <c r="M146" s="572"/>
      <c r="N146" s="583"/>
      <c r="O146" s="583"/>
      <c r="P146" s="583"/>
      <c r="Q146" s="583"/>
      <c r="R146" s="583"/>
      <c r="S146" s="583"/>
      <c r="T146" s="574"/>
      <c r="U146" s="572"/>
      <c r="V146" s="572"/>
      <c r="W146" s="575"/>
      <c r="X146" s="575"/>
      <c r="Y146" s="575"/>
      <c r="Z146" s="575"/>
      <c r="AA146" s="575"/>
      <c r="AB146" s="575"/>
      <c r="AC146" s="575"/>
      <c r="AD146" s="572"/>
      <c r="AE146" s="572"/>
      <c r="AF146" s="572"/>
      <c r="AG146" s="572"/>
      <c r="AH146" s="572"/>
      <c r="AI146" s="572"/>
      <c r="AJ146" s="572"/>
      <c r="AK146" s="572"/>
      <c r="AL146" s="572"/>
      <c r="AM146" s="572"/>
      <c r="AN146" s="572"/>
      <c r="AO146" s="572"/>
      <c r="AP146" s="572"/>
      <c r="AQ146" s="572"/>
      <c r="AR146" s="572"/>
      <c r="AS146" s="572"/>
      <c r="AT146" s="572"/>
      <c r="AU146" s="572"/>
      <c r="AV146" s="572"/>
      <c r="AW146" s="572"/>
      <c r="AX146" s="572"/>
      <c r="AY146" s="572"/>
      <c r="AZ146" s="572"/>
      <c r="BA146" s="572"/>
      <c r="BB146" s="572"/>
      <c r="BC146" s="572"/>
      <c r="BD146" s="572"/>
      <c r="BE146" s="572"/>
      <c r="BF146" s="572"/>
      <c r="BG146" s="572"/>
      <c r="BH146" s="572"/>
      <c r="BI146" s="572"/>
      <c r="BJ146" s="572"/>
      <c r="BK146" s="572"/>
      <c r="BL146" s="572"/>
      <c r="BM146" s="572"/>
      <c r="BN146" s="572"/>
      <c r="BO146" s="572"/>
      <c r="BP146" s="572"/>
      <c r="BQ146" s="572"/>
      <c r="BR146" s="572"/>
      <c r="BS146" s="572"/>
      <c r="BT146" s="572"/>
      <c r="BU146" s="572"/>
      <c r="BV146" s="572"/>
      <c r="BW146" s="572"/>
      <c r="BX146" s="572"/>
      <c r="BY146" s="572"/>
      <c r="BZ146" s="572"/>
      <c r="CA146" s="572"/>
      <c r="CB146" s="572"/>
      <c r="CC146" s="572"/>
      <c r="CD146" s="572"/>
      <c r="CE146" s="572"/>
      <c r="CF146" s="572"/>
      <c r="CG146" s="572"/>
      <c r="CH146" s="572"/>
      <c r="CI146" s="572"/>
      <c r="CJ146" s="572"/>
      <c r="CK146" s="572"/>
      <c r="CL146" s="572"/>
      <c r="CM146" s="572"/>
      <c r="CN146" s="572"/>
      <c r="CO146" s="572"/>
      <c r="CP146" s="572"/>
      <c r="CQ146" s="572"/>
      <c r="CR146" s="572"/>
      <c r="CS146" s="572"/>
      <c r="CT146" s="572"/>
    </row>
    <row r="147" spans="1:98" ht="9" customHeight="1">
      <c r="B147" s="576"/>
      <c r="C147" s="576"/>
      <c r="D147" s="576"/>
      <c r="E147" s="577"/>
      <c r="F147" s="577"/>
      <c r="G147" s="576"/>
      <c r="I147" s="567"/>
      <c r="J147" s="567"/>
      <c r="K147" s="567"/>
      <c r="N147" s="578"/>
      <c r="O147" s="578"/>
      <c r="P147" s="578"/>
      <c r="Q147" s="578"/>
      <c r="R147" s="578"/>
      <c r="S147" s="578"/>
      <c r="T147" s="579"/>
      <c r="W147" s="580"/>
      <c r="X147" s="580"/>
      <c r="Y147" s="580"/>
      <c r="Z147" s="580"/>
      <c r="AA147" s="580"/>
      <c r="AB147" s="580"/>
      <c r="AC147" s="580"/>
    </row>
    <row r="148" spans="1:98" ht="12" customHeight="1">
      <c r="A148" s="556" t="s">
        <v>169</v>
      </c>
      <c r="B148" s="576">
        <v>8937166724</v>
      </c>
      <c r="C148" s="576">
        <v>8937166724</v>
      </c>
      <c r="D148" s="576">
        <v>13881089600</v>
      </c>
      <c r="E148" s="577">
        <v>22818256324</v>
      </c>
      <c r="F148" s="577">
        <v>22818256324</v>
      </c>
      <c r="G148" s="576">
        <v>239591691.40200001</v>
      </c>
      <c r="H148" s="557" t="s">
        <v>1089</v>
      </c>
      <c r="I148" s="571"/>
      <c r="J148" s="571"/>
      <c r="K148" s="571"/>
      <c r="N148" s="578"/>
      <c r="O148" s="578"/>
      <c r="P148" s="578"/>
      <c r="Q148" s="578"/>
      <c r="R148" s="578"/>
      <c r="S148" s="578"/>
      <c r="T148" s="579"/>
      <c r="W148" s="580"/>
      <c r="X148" s="580"/>
      <c r="Y148" s="580"/>
      <c r="Z148" s="580"/>
      <c r="AA148" s="580"/>
      <c r="AB148" s="580"/>
      <c r="AC148" s="580"/>
    </row>
    <row r="149" spans="1:98" ht="12" customHeight="1">
      <c r="A149" s="556" t="s">
        <v>171</v>
      </c>
      <c r="B149" s="576">
        <v>572078300</v>
      </c>
      <c r="C149" s="576">
        <v>572078300</v>
      </c>
      <c r="D149" s="576">
        <v>1110971600</v>
      </c>
      <c r="E149" s="577">
        <v>1683049900</v>
      </c>
      <c r="F149" s="577">
        <v>1683049900</v>
      </c>
      <c r="G149" s="576">
        <v>18513548.900000002</v>
      </c>
      <c r="H149" s="557">
        <v>2011</v>
      </c>
      <c r="I149" s="571"/>
      <c r="J149" s="571"/>
      <c r="K149" s="571"/>
      <c r="N149" s="578"/>
      <c r="O149" s="578"/>
      <c r="P149" s="578"/>
      <c r="Q149" s="578"/>
      <c r="R149" s="578"/>
      <c r="S149" s="578"/>
      <c r="T149" s="579"/>
      <c r="W149" s="580"/>
      <c r="X149" s="580"/>
      <c r="Y149" s="580"/>
      <c r="Z149" s="580"/>
      <c r="AA149" s="580"/>
      <c r="AB149" s="580"/>
      <c r="AC149" s="580"/>
    </row>
    <row r="150" spans="1:98" ht="12" customHeight="1">
      <c r="A150" s="556" t="s">
        <v>173</v>
      </c>
      <c r="B150" s="576">
        <v>53619500</v>
      </c>
      <c r="C150" s="576">
        <v>53619500</v>
      </c>
      <c r="D150" s="576">
        <v>218856300</v>
      </c>
      <c r="E150" s="577">
        <v>272475800</v>
      </c>
      <c r="F150" s="577">
        <v>272475800</v>
      </c>
      <c r="G150" s="576">
        <v>1880083.0199999998</v>
      </c>
      <c r="H150" s="557" t="s">
        <v>1089</v>
      </c>
      <c r="I150" s="571"/>
      <c r="J150" s="571"/>
      <c r="K150" s="571"/>
      <c r="N150" s="578"/>
      <c r="O150" s="578"/>
      <c r="P150" s="578"/>
      <c r="Q150" s="578"/>
      <c r="R150" s="578"/>
      <c r="S150" s="578"/>
      <c r="T150" s="579"/>
      <c r="W150" s="580"/>
      <c r="X150" s="580"/>
      <c r="Y150" s="580"/>
      <c r="Z150" s="580"/>
      <c r="AA150" s="580"/>
      <c r="AB150" s="580"/>
      <c r="AC150" s="580"/>
    </row>
    <row r="151" spans="1:98" ht="12" customHeight="1">
      <c r="A151" s="556" t="s">
        <v>175</v>
      </c>
      <c r="B151" s="576">
        <v>317122300</v>
      </c>
      <c r="C151" s="576">
        <v>315815700</v>
      </c>
      <c r="D151" s="576">
        <v>1942088900</v>
      </c>
      <c r="E151" s="577">
        <v>2259211200</v>
      </c>
      <c r="F151" s="577">
        <v>2257904600</v>
      </c>
      <c r="G151" s="576">
        <v>16482703.58</v>
      </c>
      <c r="H151" s="557" t="s">
        <v>1089</v>
      </c>
      <c r="I151" s="571"/>
      <c r="J151" s="571"/>
      <c r="K151" s="571"/>
      <c r="N151" s="578"/>
      <c r="O151" s="578"/>
      <c r="P151" s="578"/>
      <c r="Q151" s="578"/>
      <c r="R151" s="578"/>
      <c r="S151" s="578"/>
      <c r="T151" s="579"/>
      <c r="W151" s="580"/>
      <c r="X151" s="580"/>
      <c r="Y151" s="580"/>
      <c r="Z151" s="580"/>
      <c r="AA151" s="580"/>
      <c r="AB151" s="580"/>
      <c r="AC151" s="580"/>
    </row>
    <row r="152" spans="1:98" ht="12" customHeight="1">
      <c r="A152" s="556" t="s">
        <v>177</v>
      </c>
      <c r="B152" s="576">
        <v>64836700</v>
      </c>
      <c r="C152" s="576">
        <v>64836700</v>
      </c>
      <c r="D152" s="576">
        <v>303886000</v>
      </c>
      <c r="E152" s="577">
        <v>368722700</v>
      </c>
      <c r="F152" s="577">
        <v>368722700</v>
      </c>
      <c r="G152" s="576">
        <v>2986653.87</v>
      </c>
      <c r="H152" s="557">
        <v>2011</v>
      </c>
      <c r="I152" s="571"/>
      <c r="J152" s="571"/>
      <c r="K152" s="571"/>
      <c r="N152" s="578"/>
      <c r="O152" s="578"/>
      <c r="P152" s="578"/>
      <c r="Q152" s="578"/>
      <c r="R152" s="578"/>
      <c r="S152" s="578"/>
      <c r="T152" s="579"/>
      <c r="W152" s="580"/>
      <c r="X152" s="580"/>
      <c r="Y152" s="580"/>
      <c r="Z152" s="580"/>
      <c r="AA152" s="580"/>
      <c r="AB152" s="580"/>
      <c r="AC152" s="580"/>
    </row>
    <row r="153" spans="1:98" ht="9" customHeight="1">
      <c r="B153" s="576"/>
      <c r="C153" s="576"/>
      <c r="D153" s="576"/>
      <c r="E153" s="577"/>
      <c r="F153" s="577"/>
      <c r="G153" s="576"/>
      <c r="I153" s="567"/>
      <c r="J153" s="567"/>
      <c r="K153" s="567"/>
      <c r="N153" s="578"/>
      <c r="O153" s="578"/>
      <c r="P153" s="578"/>
      <c r="Q153" s="578"/>
      <c r="R153" s="578"/>
      <c r="S153" s="578"/>
      <c r="T153" s="579"/>
      <c r="W153" s="580"/>
      <c r="X153" s="580"/>
      <c r="Y153" s="580"/>
      <c r="Z153" s="580"/>
      <c r="AA153" s="580"/>
      <c r="AB153" s="580"/>
      <c r="AC153" s="580"/>
    </row>
    <row r="154" spans="1:98" ht="12" customHeight="1">
      <c r="A154" s="556" t="s">
        <v>155</v>
      </c>
      <c r="B154" s="576">
        <v>2115742000</v>
      </c>
      <c r="C154" s="576">
        <v>2115742000</v>
      </c>
      <c r="D154" s="576">
        <v>2961652500</v>
      </c>
      <c r="E154" s="577">
        <v>5077394500</v>
      </c>
      <c r="F154" s="577">
        <v>5077394500</v>
      </c>
      <c r="G154" s="576">
        <v>47829056.189999998</v>
      </c>
      <c r="H154" s="557">
        <v>2011</v>
      </c>
      <c r="I154" s="571"/>
      <c r="J154" s="571"/>
      <c r="K154" s="571"/>
      <c r="N154" s="578"/>
      <c r="O154" s="578"/>
      <c r="P154" s="578"/>
      <c r="Q154" s="578"/>
      <c r="R154" s="578"/>
      <c r="S154" s="578"/>
      <c r="T154" s="579"/>
      <c r="W154" s="580"/>
      <c r="X154" s="580"/>
      <c r="Y154" s="580"/>
      <c r="Z154" s="580"/>
      <c r="AA154" s="580"/>
      <c r="AB154" s="580"/>
      <c r="AC154" s="580"/>
    </row>
    <row r="155" spans="1:98" ht="12" customHeight="1">
      <c r="A155" s="556" t="s">
        <v>179</v>
      </c>
      <c r="B155" s="576">
        <v>1783262900</v>
      </c>
      <c r="C155" s="576">
        <v>1783262900</v>
      </c>
      <c r="D155" s="576">
        <v>1446429700</v>
      </c>
      <c r="E155" s="577">
        <v>3229692600</v>
      </c>
      <c r="F155" s="577">
        <v>3229692600</v>
      </c>
      <c r="G155" s="576">
        <v>41017096.020000003</v>
      </c>
      <c r="H155" s="557">
        <v>2011</v>
      </c>
      <c r="I155" s="571"/>
      <c r="J155" s="571"/>
      <c r="K155" s="571"/>
      <c r="N155" s="578"/>
      <c r="O155" s="578"/>
      <c r="P155" s="578"/>
      <c r="Q155" s="578"/>
      <c r="R155" s="578"/>
      <c r="S155" s="578"/>
      <c r="T155" s="579"/>
      <c r="W155" s="580"/>
      <c r="X155" s="580"/>
      <c r="Y155" s="580"/>
      <c r="Z155" s="580"/>
      <c r="AA155" s="580"/>
      <c r="AB155" s="580"/>
      <c r="AC155" s="580"/>
    </row>
    <row r="156" spans="1:98" ht="12" customHeight="1">
      <c r="A156" s="556" t="s">
        <v>36</v>
      </c>
      <c r="B156" s="576">
        <v>186054400</v>
      </c>
      <c r="C156" s="576">
        <v>179679310</v>
      </c>
      <c r="D156" s="576">
        <v>450904700</v>
      </c>
      <c r="E156" s="577">
        <v>636959100</v>
      </c>
      <c r="F156" s="577">
        <v>630584010</v>
      </c>
      <c r="G156" s="576">
        <v>4909990.95</v>
      </c>
      <c r="H156" s="557" t="s">
        <v>1089</v>
      </c>
      <c r="I156" s="571"/>
      <c r="J156" s="571"/>
      <c r="K156" s="571"/>
      <c r="N156" s="578"/>
      <c r="O156" s="578"/>
      <c r="P156" s="578"/>
      <c r="Q156" s="578"/>
      <c r="R156" s="578"/>
      <c r="S156" s="578"/>
      <c r="T156" s="579"/>
      <c r="W156" s="580"/>
      <c r="X156" s="580"/>
      <c r="Y156" s="580"/>
      <c r="Z156" s="580"/>
      <c r="AA156" s="580"/>
      <c r="AB156" s="580"/>
      <c r="AC156" s="580"/>
    </row>
    <row r="157" spans="1:98" s="567" customFormat="1" ht="12" customHeight="1">
      <c r="A157" s="567" t="s">
        <v>182</v>
      </c>
      <c r="B157" s="581">
        <v>1697681200</v>
      </c>
      <c r="C157" s="581">
        <v>1662212800</v>
      </c>
      <c r="D157" s="581">
        <v>1909058300</v>
      </c>
      <c r="E157" s="582">
        <v>3606739500</v>
      </c>
      <c r="F157" s="582">
        <v>3571271100</v>
      </c>
      <c r="G157" s="581">
        <v>25713151.919999998</v>
      </c>
      <c r="H157" s="570" t="s">
        <v>1089</v>
      </c>
      <c r="I157" s="571"/>
      <c r="J157" s="571"/>
      <c r="K157" s="571"/>
      <c r="L157" s="572"/>
      <c r="M157" s="572"/>
      <c r="N157" s="583"/>
      <c r="O157" s="583"/>
      <c r="P157" s="583"/>
      <c r="Q157" s="583"/>
      <c r="R157" s="583"/>
      <c r="S157" s="583"/>
      <c r="T157" s="574"/>
      <c r="U157" s="572"/>
      <c r="V157" s="572"/>
      <c r="W157" s="575"/>
      <c r="X157" s="575"/>
      <c r="Y157" s="575"/>
      <c r="Z157" s="575"/>
      <c r="AA157" s="575"/>
      <c r="AB157" s="575"/>
      <c r="AC157" s="575"/>
      <c r="AD157" s="572"/>
      <c r="AE157" s="572"/>
      <c r="AF157" s="572"/>
      <c r="AG157" s="572"/>
      <c r="AH157" s="572"/>
      <c r="AI157" s="572"/>
      <c r="AJ157" s="572"/>
      <c r="AK157" s="572"/>
      <c r="AL157" s="572"/>
      <c r="AM157" s="572"/>
      <c r="AN157" s="572"/>
      <c r="AO157" s="572"/>
      <c r="AP157" s="572"/>
      <c r="AQ157" s="572"/>
      <c r="AR157" s="572"/>
      <c r="AS157" s="572"/>
      <c r="AT157" s="572"/>
      <c r="AU157" s="572"/>
      <c r="AV157" s="572"/>
      <c r="AW157" s="572"/>
      <c r="AX157" s="572"/>
      <c r="AY157" s="572"/>
      <c r="AZ157" s="572"/>
      <c r="BA157" s="572"/>
      <c r="BB157" s="572"/>
      <c r="BC157" s="572"/>
      <c r="BD157" s="572"/>
      <c r="BE157" s="572"/>
      <c r="BF157" s="572"/>
      <c r="BG157" s="572"/>
      <c r="BH157" s="572"/>
      <c r="BI157" s="572"/>
      <c r="BJ157" s="572"/>
      <c r="BK157" s="572"/>
      <c r="BL157" s="572"/>
      <c r="BM157" s="572"/>
      <c r="BN157" s="572"/>
      <c r="BO157" s="572"/>
      <c r="BP157" s="572"/>
      <c r="BQ157" s="572"/>
      <c r="BR157" s="572"/>
      <c r="BS157" s="572"/>
      <c r="BT157" s="572"/>
      <c r="BU157" s="572"/>
      <c r="BV157" s="572"/>
      <c r="BW157" s="572"/>
      <c r="BX157" s="572"/>
      <c r="BY157" s="572"/>
      <c r="BZ157" s="572"/>
      <c r="CA157" s="572"/>
      <c r="CB157" s="572"/>
      <c r="CC157" s="572"/>
      <c r="CD157" s="572"/>
      <c r="CE157" s="572"/>
      <c r="CF157" s="572"/>
      <c r="CG157" s="572"/>
      <c r="CH157" s="572"/>
      <c r="CI157" s="572"/>
      <c r="CJ157" s="572"/>
      <c r="CK157" s="572"/>
      <c r="CL157" s="572"/>
      <c r="CM157" s="572"/>
      <c r="CN157" s="572"/>
      <c r="CO157" s="572"/>
      <c r="CP157" s="572"/>
      <c r="CQ157" s="572"/>
      <c r="CR157" s="572"/>
      <c r="CS157" s="572"/>
      <c r="CT157" s="572"/>
    </row>
    <row r="158" spans="1:98" ht="12" customHeight="1">
      <c r="A158" s="556" t="s">
        <v>184</v>
      </c>
      <c r="B158" s="576">
        <v>86613000</v>
      </c>
      <c r="C158" s="576">
        <v>86613000</v>
      </c>
      <c r="D158" s="576">
        <v>357350100</v>
      </c>
      <c r="E158" s="577">
        <v>443963100</v>
      </c>
      <c r="F158" s="577">
        <v>443963100</v>
      </c>
      <c r="G158" s="576">
        <v>2752571.22</v>
      </c>
      <c r="H158" s="557">
        <v>2011</v>
      </c>
      <c r="I158" s="571"/>
      <c r="J158" s="571"/>
      <c r="K158" s="571"/>
      <c r="N158" s="578"/>
      <c r="O158" s="578"/>
      <c r="P158" s="578"/>
      <c r="Q158" s="578"/>
      <c r="R158" s="578"/>
      <c r="S158" s="578"/>
      <c r="T158" s="579"/>
      <c r="W158" s="580"/>
      <c r="X158" s="580"/>
      <c r="Y158" s="580"/>
      <c r="Z158" s="580"/>
      <c r="AA158" s="580"/>
      <c r="AB158" s="580"/>
      <c r="AC158" s="580"/>
    </row>
    <row r="159" spans="1:98" ht="9" customHeight="1">
      <c r="B159" s="576"/>
      <c r="C159" s="576"/>
      <c r="D159" s="576"/>
      <c r="E159" s="577"/>
      <c r="F159" s="577"/>
      <c r="G159" s="576"/>
      <c r="N159" s="578"/>
      <c r="O159" s="578"/>
      <c r="P159" s="578"/>
      <c r="Q159" s="578"/>
      <c r="R159" s="578"/>
      <c r="S159" s="578"/>
      <c r="T159" s="579"/>
      <c r="W159" s="580"/>
      <c r="X159" s="580"/>
      <c r="Y159" s="580"/>
      <c r="Z159" s="580"/>
      <c r="AA159" s="580"/>
      <c r="AB159" s="580"/>
      <c r="AC159" s="580"/>
    </row>
    <row r="160" spans="1:98" s="567" customFormat="1" ht="12" customHeight="1">
      <c r="A160" s="567" t="s">
        <v>186</v>
      </c>
      <c r="B160" s="581">
        <v>3346878700</v>
      </c>
      <c r="C160" s="581">
        <v>3328004000</v>
      </c>
      <c r="D160" s="581">
        <v>7922157300</v>
      </c>
      <c r="E160" s="582">
        <v>11269036000</v>
      </c>
      <c r="F160" s="582">
        <v>11250161300</v>
      </c>
      <c r="G160" s="581">
        <v>117001677.52000001</v>
      </c>
      <c r="H160" s="570" t="s">
        <v>1089</v>
      </c>
      <c r="I160" s="571"/>
      <c r="J160" s="571"/>
      <c r="K160" s="571"/>
      <c r="L160" s="572"/>
      <c r="M160" s="572"/>
      <c r="N160" s="583"/>
      <c r="O160" s="583"/>
      <c r="P160" s="583"/>
      <c r="Q160" s="583"/>
      <c r="R160" s="583"/>
      <c r="S160" s="583"/>
      <c r="T160" s="574"/>
      <c r="U160" s="572"/>
      <c r="V160" s="572"/>
      <c r="W160" s="575"/>
      <c r="X160" s="575"/>
      <c r="Y160" s="575"/>
      <c r="Z160" s="575"/>
      <c r="AA160" s="575"/>
      <c r="AB160" s="575"/>
      <c r="AC160" s="575"/>
      <c r="AD160" s="572"/>
      <c r="AE160" s="572"/>
      <c r="AF160" s="572"/>
      <c r="AG160" s="572"/>
      <c r="AH160" s="572"/>
      <c r="AI160" s="572"/>
      <c r="AJ160" s="572"/>
      <c r="AK160" s="572"/>
      <c r="AL160" s="572"/>
      <c r="AM160" s="572"/>
      <c r="AN160" s="572"/>
      <c r="AO160" s="572"/>
      <c r="AP160" s="572"/>
      <c r="AQ160" s="572"/>
      <c r="AR160" s="572"/>
      <c r="AS160" s="572"/>
      <c r="AT160" s="572"/>
      <c r="AU160" s="572"/>
      <c r="AV160" s="572"/>
      <c r="AW160" s="572"/>
      <c r="AX160" s="572"/>
      <c r="AY160" s="572"/>
      <c r="AZ160" s="572"/>
      <c r="BA160" s="572"/>
      <c r="BB160" s="572"/>
      <c r="BC160" s="572"/>
      <c r="BD160" s="572"/>
      <c r="BE160" s="572"/>
      <c r="BF160" s="572"/>
      <c r="BG160" s="572"/>
      <c r="BH160" s="572"/>
      <c r="BI160" s="572"/>
      <c r="BJ160" s="572"/>
      <c r="BK160" s="572"/>
      <c r="BL160" s="572"/>
      <c r="BM160" s="572"/>
      <c r="BN160" s="572"/>
      <c r="BO160" s="572"/>
      <c r="BP160" s="572"/>
      <c r="BQ160" s="572"/>
      <c r="BR160" s="572"/>
      <c r="BS160" s="572"/>
      <c r="BT160" s="572"/>
      <c r="BU160" s="572"/>
      <c r="BV160" s="572"/>
      <c r="BW160" s="572"/>
      <c r="BX160" s="572"/>
      <c r="BY160" s="572"/>
      <c r="BZ160" s="572"/>
      <c r="CA160" s="572"/>
      <c r="CB160" s="572"/>
      <c r="CC160" s="572"/>
      <c r="CD160" s="572"/>
      <c r="CE160" s="572"/>
      <c r="CF160" s="572"/>
      <c r="CG160" s="572"/>
      <c r="CH160" s="572"/>
      <c r="CI160" s="572"/>
      <c r="CJ160" s="572"/>
      <c r="CK160" s="572"/>
      <c r="CL160" s="572"/>
      <c r="CM160" s="572"/>
      <c r="CN160" s="572"/>
      <c r="CO160" s="572"/>
      <c r="CP160" s="572"/>
      <c r="CQ160" s="572"/>
      <c r="CR160" s="572"/>
      <c r="CS160" s="572"/>
      <c r="CT160" s="572"/>
    </row>
    <row r="161" spans="1:98" ht="12" customHeight="1">
      <c r="A161" s="556" t="s">
        <v>941</v>
      </c>
      <c r="B161" s="576">
        <v>1355256800</v>
      </c>
      <c r="C161" s="576">
        <v>1304129200</v>
      </c>
      <c r="D161" s="576">
        <v>2640128500</v>
      </c>
      <c r="E161" s="577">
        <v>3995385300</v>
      </c>
      <c r="F161" s="577">
        <v>3944257700</v>
      </c>
      <c r="G161" s="576">
        <v>23271120.43</v>
      </c>
      <c r="H161" s="557" t="s">
        <v>1089</v>
      </c>
      <c r="I161" s="571"/>
      <c r="J161" s="571"/>
      <c r="K161" s="571"/>
      <c r="N161" s="578"/>
      <c r="O161" s="578"/>
      <c r="P161" s="578"/>
      <c r="Q161" s="578"/>
      <c r="R161" s="578"/>
      <c r="S161" s="578"/>
      <c r="T161" s="579"/>
      <c r="W161" s="580"/>
      <c r="X161" s="580"/>
      <c r="Y161" s="580"/>
      <c r="Z161" s="580"/>
      <c r="AA161" s="580"/>
      <c r="AB161" s="580"/>
      <c r="AC161" s="580"/>
    </row>
    <row r="162" spans="1:98" s="567" customFormat="1" ht="12" customHeight="1">
      <c r="A162" s="567" t="s">
        <v>190</v>
      </c>
      <c r="B162" s="581">
        <v>338143100</v>
      </c>
      <c r="C162" s="581">
        <v>338143100</v>
      </c>
      <c r="D162" s="581">
        <v>1025378200</v>
      </c>
      <c r="E162" s="582">
        <v>1363521300</v>
      </c>
      <c r="F162" s="582">
        <v>1363521300</v>
      </c>
      <c r="G162" s="581">
        <v>13826852.76</v>
      </c>
      <c r="H162" s="570">
        <v>2011</v>
      </c>
      <c r="I162" s="571"/>
      <c r="J162" s="571"/>
      <c r="K162" s="571"/>
      <c r="L162" s="572"/>
      <c r="M162" s="572"/>
      <c r="N162" s="583"/>
      <c r="O162" s="583"/>
      <c r="P162" s="583"/>
      <c r="Q162" s="583"/>
      <c r="R162" s="583"/>
      <c r="S162" s="583"/>
      <c r="T162" s="574"/>
      <c r="U162" s="572"/>
      <c r="V162" s="572"/>
      <c r="W162" s="575"/>
      <c r="X162" s="575"/>
      <c r="Y162" s="575"/>
      <c r="Z162" s="575"/>
      <c r="AA162" s="575"/>
      <c r="AB162" s="575"/>
      <c r="AC162" s="575"/>
      <c r="AD162" s="572"/>
      <c r="AE162" s="572"/>
      <c r="AF162" s="572"/>
      <c r="AG162" s="572"/>
      <c r="AH162" s="572"/>
      <c r="AI162" s="572"/>
      <c r="AJ162" s="572"/>
      <c r="AK162" s="572"/>
      <c r="AL162" s="572"/>
      <c r="AM162" s="572"/>
      <c r="AN162" s="572"/>
      <c r="AO162" s="572"/>
      <c r="AP162" s="572"/>
      <c r="AQ162" s="572"/>
      <c r="AR162" s="572"/>
      <c r="AS162" s="572"/>
      <c r="AT162" s="572"/>
      <c r="AU162" s="572"/>
      <c r="AV162" s="572"/>
      <c r="AW162" s="572"/>
      <c r="AX162" s="572"/>
      <c r="AY162" s="572"/>
      <c r="AZ162" s="572"/>
      <c r="BA162" s="572"/>
      <c r="BB162" s="572"/>
      <c r="BC162" s="572"/>
      <c r="BD162" s="572"/>
      <c r="BE162" s="572"/>
      <c r="BF162" s="572"/>
      <c r="BG162" s="572"/>
      <c r="BH162" s="572"/>
      <c r="BI162" s="572"/>
      <c r="BJ162" s="572"/>
      <c r="BK162" s="572"/>
      <c r="BL162" s="572"/>
      <c r="BM162" s="572"/>
      <c r="BN162" s="572"/>
      <c r="BO162" s="572"/>
      <c r="BP162" s="572"/>
      <c r="BQ162" s="572"/>
      <c r="BR162" s="572"/>
      <c r="BS162" s="572"/>
      <c r="BT162" s="572"/>
      <c r="BU162" s="572"/>
      <c r="BV162" s="572"/>
      <c r="BW162" s="572"/>
      <c r="BX162" s="572"/>
      <c r="BY162" s="572"/>
      <c r="BZ162" s="572"/>
      <c r="CA162" s="572"/>
      <c r="CB162" s="572"/>
      <c r="CC162" s="572"/>
      <c r="CD162" s="572"/>
      <c r="CE162" s="572"/>
      <c r="CF162" s="572"/>
      <c r="CG162" s="572"/>
      <c r="CH162" s="572"/>
      <c r="CI162" s="572"/>
      <c r="CJ162" s="572"/>
      <c r="CK162" s="572"/>
      <c r="CL162" s="572"/>
      <c r="CM162" s="572"/>
      <c r="CN162" s="572"/>
      <c r="CO162" s="572"/>
      <c r="CP162" s="572"/>
      <c r="CQ162" s="572"/>
      <c r="CR162" s="572"/>
      <c r="CS162" s="572"/>
      <c r="CT162" s="572"/>
    </row>
    <row r="163" spans="1:98" ht="12" customHeight="1">
      <c r="A163" s="558" t="s">
        <v>942</v>
      </c>
      <c r="B163" s="576">
        <v>168654900</v>
      </c>
      <c r="C163" s="576">
        <v>168654900</v>
      </c>
      <c r="D163" s="576">
        <v>395820700</v>
      </c>
      <c r="E163" s="578">
        <v>564475600</v>
      </c>
      <c r="F163" s="578">
        <v>564475600</v>
      </c>
      <c r="G163" s="576">
        <v>4120671.88</v>
      </c>
      <c r="H163" s="557" t="s">
        <v>1089</v>
      </c>
      <c r="I163" s="571"/>
      <c r="J163" s="571"/>
      <c r="K163" s="571"/>
      <c r="N163" s="578"/>
      <c r="O163" s="578"/>
      <c r="P163" s="578"/>
      <c r="Q163" s="578"/>
      <c r="R163" s="578"/>
      <c r="S163" s="578"/>
      <c r="T163" s="579"/>
      <c r="W163" s="580"/>
      <c r="X163" s="580"/>
      <c r="Y163" s="580"/>
      <c r="Z163" s="580"/>
      <c r="AA163" s="580"/>
      <c r="AB163" s="580"/>
      <c r="AC163" s="580"/>
    </row>
    <row r="164" spans="1:98" ht="12" customHeight="1">
      <c r="A164" s="556" t="s">
        <v>194</v>
      </c>
      <c r="B164" s="576">
        <v>1057522400</v>
      </c>
      <c r="C164" s="576">
        <v>1049083400</v>
      </c>
      <c r="D164" s="576">
        <v>3900415700</v>
      </c>
      <c r="E164" s="577">
        <v>4957938100</v>
      </c>
      <c r="F164" s="577">
        <v>4949499100</v>
      </c>
      <c r="G164" s="576">
        <v>51969740.550000004</v>
      </c>
      <c r="H164" s="557" t="s">
        <v>1089</v>
      </c>
      <c r="I164" s="571"/>
      <c r="J164" s="571"/>
      <c r="K164" s="571"/>
      <c r="N164" s="592"/>
      <c r="O164" s="592"/>
      <c r="P164" s="592"/>
      <c r="Q164" s="592"/>
      <c r="R164" s="592"/>
      <c r="S164" s="592"/>
      <c r="T164" s="579"/>
      <c r="W164" s="580"/>
      <c r="X164" s="580"/>
      <c r="Y164" s="580"/>
      <c r="Z164" s="580"/>
      <c r="AA164" s="580"/>
      <c r="AB164" s="580"/>
      <c r="AC164" s="580"/>
    </row>
    <row r="165" spans="1:98" ht="15">
      <c r="A165" s="555" t="s">
        <v>997</v>
      </c>
      <c r="M165" s="559"/>
      <c r="W165" s="580"/>
      <c r="X165" s="580"/>
      <c r="Y165" s="580"/>
      <c r="Z165" s="580"/>
      <c r="AA165" s="580"/>
      <c r="AB165" s="580"/>
      <c r="AC165" s="580"/>
    </row>
    <row r="166" spans="1:98" ht="12.75">
      <c r="A166" s="1082" t="s">
        <v>1068</v>
      </c>
      <c r="B166" s="1083"/>
      <c r="C166" s="1083"/>
      <c r="D166" s="1083"/>
      <c r="E166" s="1083"/>
      <c r="F166" s="1083"/>
      <c r="G166" s="1083"/>
      <c r="H166" s="1083"/>
      <c r="M166" s="600"/>
      <c r="N166" s="600"/>
      <c r="O166" s="600"/>
      <c r="P166" s="600"/>
      <c r="Q166" s="600"/>
      <c r="R166" s="600"/>
      <c r="S166" s="600"/>
      <c r="T166" s="600"/>
      <c r="W166" s="580"/>
      <c r="X166" s="580"/>
      <c r="Y166" s="580"/>
      <c r="Z166" s="580"/>
      <c r="AA166" s="580"/>
      <c r="AB166" s="580"/>
      <c r="AC166" s="580"/>
    </row>
    <row r="167" spans="1:98" s="567" customFormat="1" ht="12.75" thickBot="1">
      <c r="A167" s="608"/>
      <c r="B167" s="608"/>
      <c r="C167" s="608"/>
      <c r="D167" s="608"/>
      <c r="E167" s="608"/>
      <c r="F167" s="608"/>
      <c r="G167" s="608"/>
      <c r="H167" s="608"/>
      <c r="L167" s="572"/>
      <c r="M167" s="609"/>
      <c r="N167" s="609"/>
      <c r="O167" s="609"/>
      <c r="P167" s="609"/>
      <c r="Q167" s="609"/>
      <c r="R167" s="609"/>
      <c r="S167" s="609"/>
      <c r="T167" s="609"/>
      <c r="U167" s="572"/>
      <c r="V167" s="572"/>
      <c r="W167" s="575"/>
      <c r="X167" s="575"/>
      <c r="Y167" s="575"/>
      <c r="Z167" s="575"/>
      <c r="AA167" s="575"/>
      <c r="AB167" s="575"/>
      <c r="AC167" s="575"/>
      <c r="AD167" s="572"/>
      <c r="AE167" s="572"/>
      <c r="AF167" s="572"/>
      <c r="AG167" s="572"/>
      <c r="AH167" s="572"/>
      <c r="AI167" s="572"/>
      <c r="AJ167" s="572"/>
      <c r="AK167" s="572"/>
      <c r="AL167" s="572"/>
      <c r="AM167" s="572"/>
      <c r="AN167" s="572"/>
      <c r="AO167" s="572"/>
      <c r="AP167" s="572"/>
      <c r="AQ167" s="572"/>
      <c r="AR167" s="572"/>
      <c r="AS167" s="572"/>
      <c r="AT167" s="572"/>
      <c r="AU167" s="572"/>
      <c r="AV167" s="572"/>
      <c r="AW167" s="572"/>
      <c r="AX167" s="572"/>
      <c r="AY167" s="572"/>
      <c r="AZ167" s="572"/>
      <c r="BA167" s="572"/>
      <c r="BB167" s="572"/>
      <c r="BC167" s="572"/>
      <c r="BD167" s="572"/>
      <c r="BE167" s="572"/>
      <c r="BF167" s="572"/>
      <c r="BG167" s="572"/>
      <c r="BH167" s="572"/>
      <c r="BI167" s="572"/>
      <c r="BJ167" s="572"/>
      <c r="BK167" s="572"/>
      <c r="BL167" s="572"/>
      <c r="BM167" s="572"/>
      <c r="BN167" s="572"/>
      <c r="BO167" s="572"/>
      <c r="BP167" s="572"/>
      <c r="BQ167" s="572"/>
      <c r="BR167" s="572"/>
      <c r="BS167" s="572"/>
      <c r="BT167" s="572"/>
      <c r="BU167" s="572"/>
      <c r="BV167" s="572"/>
      <c r="BW167" s="572"/>
      <c r="BX167" s="572"/>
      <c r="BY167" s="572"/>
      <c r="BZ167" s="572"/>
      <c r="CA167" s="572"/>
      <c r="CB167" s="572"/>
      <c r="CC167" s="572"/>
      <c r="CD167" s="572"/>
      <c r="CE167" s="572"/>
      <c r="CF167" s="572"/>
      <c r="CG167" s="572"/>
      <c r="CH167" s="572"/>
      <c r="CI167" s="572"/>
      <c r="CJ167" s="572"/>
      <c r="CK167" s="572"/>
      <c r="CL167" s="572"/>
      <c r="CM167" s="572"/>
      <c r="CN167" s="572"/>
      <c r="CO167" s="572"/>
      <c r="CP167" s="572"/>
      <c r="CQ167" s="572"/>
      <c r="CR167" s="572"/>
      <c r="CS167" s="572"/>
      <c r="CT167" s="572"/>
    </row>
    <row r="168" spans="1:98">
      <c r="W168" s="580"/>
      <c r="X168" s="580"/>
      <c r="Y168" s="580"/>
      <c r="Z168" s="580"/>
      <c r="AA168" s="580"/>
      <c r="AB168" s="580"/>
      <c r="AC168" s="580"/>
    </row>
    <row r="169" spans="1:98" s="606" customFormat="1">
      <c r="A169" s="563" t="s">
        <v>35</v>
      </c>
      <c r="B169" s="563" t="s">
        <v>934</v>
      </c>
      <c r="C169" s="563" t="s">
        <v>935</v>
      </c>
      <c r="D169" s="563" t="s">
        <v>936</v>
      </c>
      <c r="E169" s="563" t="s">
        <v>937</v>
      </c>
      <c r="F169" s="563" t="s">
        <v>938</v>
      </c>
      <c r="G169" s="563" t="s">
        <v>939</v>
      </c>
      <c r="H169" s="564" t="s">
        <v>940</v>
      </c>
      <c r="L169" s="559"/>
      <c r="M169" s="566"/>
      <c r="N169" s="566"/>
      <c r="O169" s="566"/>
      <c r="P169" s="566"/>
      <c r="Q169" s="566"/>
      <c r="R169" s="566"/>
      <c r="S169" s="566"/>
      <c r="T169" s="566"/>
      <c r="U169" s="559"/>
      <c r="V169" s="558"/>
      <c r="W169" s="580"/>
      <c r="X169" s="580"/>
      <c r="Y169" s="580"/>
      <c r="Z169" s="580"/>
      <c r="AA169" s="580"/>
      <c r="AB169" s="580"/>
      <c r="AC169" s="580"/>
      <c r="AD169" s="559"/>
      <c r="AE169" s="559"/>
      <c r="AF169" s="559"/>
      <c r="AG169" s="559"/>
      <c r="AH169" s="559"/>
      <c r="AI169" s="559"/>
      <c r="AJ169" s="559"/>
      <c r="AK169" s="559"/>
      <c r="AL169" s="559"/>
      <c r="AM169" s="559"/>
      <c r="AN169" s="559"/>
      <c r="AO169" s="559"/>
      <c r="AP169" s="559"/>
      <c r="AQ169" s="559"/>
      <c r="AR169" s="559"/>
      <c r="AS169" s="559"/>
      <c r="AT169" s="559"/>
      <c r="AU169" s="559"/>
      <c r="AV169" s="559"/>
      <c r="AW169" s="559"/>
      <c r="AX169" s="559"/>
      <c r="AY169" s="559"/>
      <c r="AZ169" s="559"/>
      <c r="BA169" s="559"/>
      <c r="BB169" s="559"/>
      <c r="BC169" s="559"/>
      <c r="BD169" s="559"/>
      <c r="BE169" s="559"/>
      <c r="BF169" s="559"/>
      <c r="BG169" s="559"/>
      <c r="BH169" s="559"/>
      <c r="BI169" s="559"/>
      <c r="BJ169" s="559"/>
      <c r="BK169" s="559"/>
      <c r="BL169" s="559"/>
      <c r="BM169" s="559"/>
      <c r="BN169" s="559"/>
      <c r="BO169" s="559"/>
      <c r="BP169" s="559"/>
      <c r="BQ169" s="559"/>
      <c r="BR169" s="559"/>
      <c r="BS169" s="559"/>
      <c r="BT169" s="559"/>
      <c r="BU169" s="559"/>
      <c r="BV169" s="559"/>
      <c r="BW169" s="559"/>
      <c r="BX169" s="559"/>
      <c r="BY169" s="559"/>
      <c r="BZ169" s="559"/>
      <c r="CA169" s="559"/>
      <c r="CB169" s="559"/>
      <c r="CC169" s="559"/>
      <c r="CD169" s="559"/>
      <c r="CE169" s="559"/>
      <c r="CF169" s="559"/>
      <c r="CG169" s="559"/>
      <c r="CH169" s="559"/>
      <c r="CI169" s="559"/>
      <c r="CJ169" s="559"/>
      <c r="CK169" s="559"/>
      <c r="CL169" s="559"/>
      <c r="CM169" s="559"/>
      <c r="CN169" s="559"/>
      <c r="CO169" s="559"/>
      <c r="CP169" s="559"/>
      <c r="CQ169" s="559"/>
      <c r="CR169" s="559"/>
      <c r="CS169" s="559"/>
      <c r="CT169" s="559"/>
    </row>
    <row r="170" spans="1:98" ht="8.25" customHeight="1">
      <c r="W170" s="580"/>
      <c r="X170" s="580"/>
      <c r="Y170" s="580"/>
      <c r="Z170" s="580"/>
      <c r="AA170" s="580"/>
      <c r="AB170" s="580"/>
      <c r="AC170" s="580"/>
    </row>
    <row r="171" spans="1:98" s="567" customFormat="1" ht="12" customHeight="1">
      <c r="A171" s="567" t="s">
        <v>943</v>
      </c>
      <c r="B171" s="568">
        <v>1675498200</v>
      </c>
      <c r="C171" s="568">
        <v>1671669700</v>
      </c>
      <c r="D171" s="568">
        <v>2243001400</v>
      </c>
      <c r="E171" s="569">
        <v>3918499600</v>
      </c>
      <c r="F171" s="569">
        <v>3914671100</v>
      </c>
      <c r="G171" s="568">
        <v>47993867.685999997</v>
      </c>
      <c r="H171" s="570" t="s">
        <v>1089</v>
      </c>
      <c r="I171" s="571"/>
      <c r="J171" s="571"/>
      <c r="K171" s="571"/>
      <c r="L171" s="572"/>
      <c r="M171" s="572"/>
      <c r="N171" s="583"/>
      <c r="O171" s="583"/>
      <c r="P171" s="583"/>
      <c r="Q171" s="583"/>
      <c r="R171" s="583"/>
      <c r="S171" s="583"/>
      <c r="T171" s="574"/>
      <c r="U171" s="572"/>
      <c r="V171" s="572"/>
      <c r="W171" s="575"/>
      <c r="X171" s="575"/>
      <c r="Y171" s="575"/>
      <c r="Z171" s="575"/>
      <c r="AA171" s="575"/>
      <c r="AB171" s="575"/>
      <c r="AC171" s="575"/>
      <c r="AD171" s="572"/>
      <c r="AE171" s="572"/>
      <c r="AF171" s="572"/>
      <c r="AG171" s="572"/>
      <c r="AH171" s="572"/>
      <c r="AI171" s="572"/>
      <c r="AJ171" s="572"/>
      <c r="AK171" s="572"/>
      <c r="AL171" s="572"/>
      <c r="AM171" s="572"/>
      <c r="AN171" s="572"/>
      <c r="AO171" s="572"/>
      <c r="AP171" s="572"/>
      <c r="AQ171" s="572"/>
      <c r="AR171" s="572"/>
      <c r="AS171" s="572"/>
      <c r="AT171" s="572"/>
      <c r="AU171" s="572"/>
      <c r="AV171" s="572"/>
      <c r="AW171" s="572"/>
      <c r="AX171" s="572"/>
      <c r="AY171" s="572"/>
      <c r="AZ171" s="572"/>
      <c r="BA171" s="572"/>
      <c r="BB171" s="572"/>
      <c r="BC171" s="572"/>
      <c r="BD171" s="572"/>
      <c r="BE171" s="572"/>
      <c r="BF171" s="572"/>
      <c r="BG171" s="572"/>
      <c r="BH171" s="572"/>
      <c r="BI171" s="572"/>
      <c r="BJ171" s="572"/>
      <c r="BK171" s="572"/>
      <c r="BL171" s="572"/>
      <c r="BM171" s="572"/>
      <c r="BN171" s="572"/>
      <c r="BO171" s="572"/>
      <c r="BP171" s="572"/>
      <c r="BQ171" s="572"/>
      <c r="BR171" s="572"/>
      <c r="BS171" s="572"/>
      <c r="BT171" s="572"/>
      <c r="BU171" s="572"/>
      <c r="BV171" s="572"/>
      <c r="BW171" s="572"/>
      <c r="BX171" s="572"/>
      <c r="BY171" s="572"/>
      <c r="BZ171" s="572"/>
      <c r="CA171" s="572"/>
      <c r="CB171" s="572"/>
      <c r="CC171" s="572"/>
      <c r="CD171" s="572"/>
      <c r="CE171" s="572"/>
      <c r="CF171" s="572"/>
      <c r="CG171" s="572"/>
      <c r="CH171" s="572"/>
      <c r="CI171" s="572"/>
      <c r="CJ171" s="572"/>
      <c r="CK171" s="572"/>
      <c r="CL171" s="572"/>
      <c r="CM171" s="572"/>
      <c r="CN171" s="572"/>
      <c r="CO171" s="572"/>
      <c r="CP171" s="572"/>
      <c r="CQ171" s="572"/>
      <c r="CR171" s="572"/>
      <c r="CS171" s="572"/>
      <c r="CT171" s="572"/>
    </row>
    <row r="172" spans="1:98" s="567" customFormat="1" ht="12" customHeight="1">
      <c r="A172" s="567" t="s">
        <v>198</v>
      </c>
      <c r="B172" s="581">
        <v>432877600</v>
      </c>
      <c r="C172" s="581">
        <v>432877600</v>
      </c>
      <c r="D172" s="581">
        <v>668232300</v>
      </c>
      <c r="E172" s="582">
        <v>1101109900</v>
      </c>
      <c r="F172" s="582">
        <v>1101109900</v>
      </c>
      <c r="G172" s="581">
        <v>18168313.349999998</v>
      </c>
      <c r="H172" s="570" t="s">
        <v>1089</v>
      </c>
      <c r="I172" s="571"/>
      <c r="J172" s="571"/>
      <c r="K172" s="571"/>
      <c r="L172" s="572"/>
      <c r="M172" s="572"/>
      <c r="N172" s="583"/>
      <c r="O172" s="583"/>
      <c r="P172" s="583"/>
      <c r="Q172" s="583"/>
      <c r="R172" s="583"/>
      <c r="S172" s="583"/>
      <c r="T172" s="574"/>
      <c r="U172" s="572"/>
      <c r="V172" s="572"/>
      <c r="W172" s="575"/>
      <c r="X172" s="575"/>
      <c r="Y172" s="575"/>
      <c r="Z172" s="575"/>
      <c r="AA172" s="575"/>
      <c r="AB172" s="575"/>
      <c r="AC172" s="575"/>
      <c r="AD172" s="572"/>
      <c r="AE172" s="572"/>
      <c r="AF172" s="572"/>
      <c r="AG172" s="572"/>
      <c r="AH172" s="572"/>
      <c r="AI172" s="572"/>
      <c r="AJ172" s="572"/>
      <c r="AK172" s="572"/>
      <c r="AL172" s="572"/>
      <c r="AM172" s="572"/>
      <c r="AN172" s="572"/>
      <c r="AO172" s="572"/>
      <c r="AP172" s="572"/>
      <c r="AQ172" s="572"/>
      <c r="AR172" s="572"/>
      <c r="AS172" s="572"/>
      <c r="AT172" s="572"/>
      <c r="AU172" s="572"/>
      <c r="AV172" s="572"/>
      <c r="AW172" s="572"/>
      <c r="AX172" s="572"/>
      <c r="AY172" s="572"/>
      <c r="AZ172" s="572"/>
      <c r="BA172" s="572"/>
      <c r="BB172" s="572"/>
      <c r="BC172" s="572"/>
      <c r="BD172" s="572"/>
      <c r="BE172" s="572"/>
      <c r="BF172" s="572"/>
      <c r="BG172" s="572"/>
      <c r="BH172" s="572"/>
      <c r="BI172" s="572"/>
      <c r="BJ172" s="572"/>
      <c r="BK172" s="572"/>
      <c r="BL172" s="572"/>
      <c r="BM172" s="572"/>
      <c r="BN172" s="572"/>
      <c r="BO172" s="572"/>
      <c r="BP172" s="572"/>
      <c r="BQ172" s="572"/>
      <c r="BR172" s="572"/>
      <c r="BS172" s="572"/>
      <c r="BT172" s="572"/>
      <c r="BU172" s="572"/>
      <c r="BV172" s="572"/>
      <c r="BW172" s="572"/>
      <c r="BX172" s="572"/>
      <c r="BY172" s="572"/>
      <c r="BZ172" s="572"/>
      <c r="CA172" s="572"/>
      <c r="CB172" s="572"/>
      <c r="CC172" s="572"/>
      <c r="CD172" s="572"/>
      <c r="CE172" s="572"/>
      <c r="CF172" s="572"/>
      <c r="CG172" s="572"/>
      <c r="CH172" s="572"/>
      <c r="CI172" s="572"/>
      <c r="CJ172" s="572"/>
      <c r="CK172" s="572"/>
      <c r="CL172" s="572"/>
      <c r="CM172" s="572"/>
      <c r="CN172" s="572"/>
      <c r="CO172" s="572"/>
      <c r="CP172" s="572"/>
      <c r="CQ172" s="572"/>
      <c r="CR172" s="572"/>
      <c r="CS172" s="572"/>
      <c r="CT172" s="572"/>
    </row>
    <row r="173" spans="1:98" ht="12" customHeight="1">
      <c r="A173" s="556" t="s">
        <v>200</v>
      </c>
      <c r="B173" s="576">
        <v>135050300</v>
      </c>
      <c r="C173" s="576">
        <v>135050300</v>
      </c>
      <c r="D173" s="576">
        <v>531624000</v>
      </c>
      <c r="E173" s="577">
        <v>666674300</v>
      </c>
      <c r="F173" s="577">
        <v>666674300</v>
      </c>
      <c r="G173" s="576">
        <v>6787810.9000000004</v>
      </c>
      <c r="H173" s="557" t="s">
        <v>1089</v>
      </c>
      <c r="I173" s="571"/>
      <c r="J173" s="571"/>
      <c r="K173" s="571"/>
      <c r="N173" s="578"/>
      <c r="O173" s="578"/>
      <c r="P173" s="578"/>
      <c r="Q173" s="578"/>
      <c r="R173" s="578"/>
      <c r="S173" s="578"/>
      <c r="T173" s="579"/>
      <c r="W173" s="580"/>
      <c r="X173" s="580"/>
      <c r="Y173" s="580"/>
      <c r="Z173" s="580"/>
      <c r="AA173" s="580"/>
      <c r="AB173" s="580"/>
      <c r="AC173" s="580"/>
    </row>
    <row r="174" spans="1:98" s="567" customFormat="1" ht="12" customHeight="1">
      <c r="A174" s="567" t="s">
        <v>202</v>
      </c>
      <c r="B174" s="581">
        <v>4224578100</v>
      </c>
      <c r="C174" s="581">
        <v>4224578100</v>
      </c>
      <c r="D174" s="581">
        <v>10502743769</v>
      </c>
      <c r="E174" s="582">
        <v>14727321869</v>
      </c>
      <c r="F174" s="582">
        <v>14727321869</v>
      </c>
      <c r="G174" s="581">
        <v>162000540.55900002</v>
      </c>
      <c r="H174" s="570" t="s">
        <v>1089</v>
      </c>
      <c r="I174" s="571"/>
      <c r="J174" s="571"/>
      <c r="K174" s="571"/>
      <c r="L174" s="572"/>
      <c r="M174" s="572"/>
      <c r="N174" s="583"/>
      <c r="O174" s="583"/>
      <c r="P174" s="583"/>
      <c r="Q174" s="583"/>
      <c r="R174" s="583"/>
      <c r="S174" s="583"/>
      <c r="T174" s="574"/>
      <c r="U174" s="572"/>
      <c r="V174" s="572"/>
      <c r="W174" s="575"/>
      <c r="X174" s="575"/>
      <c r="Y174" s="575"/>
      <c r="Z174" s="575"/>
      <c r="AA174" s="575"/>
      <c r="AB174" s="575"/>
      <c r="AC174" s="575"/>
      <c r="AD174" s="572"/>
      <c r="AE174" s="572"/>
      <c r="AF174" s="572"/>
      <c r="AG174" s="572"/>
      <c r="AH174" s="572"/>
      <c r="AI174" s="572"/>
      <c r="AJ174" s="572"/>
      <c r="AK174" s="572"/>
      <c r="AL174" s="572"/>
      <c r="AM174" s="572"/>
      <c r="AN174" s="572"/>
      <c r="AO174" s="572"/>
      <c r="AP174" s="572"/>
      <c r="AQ174" s="572"/>
      <c r="AR174" s="572"/>
      <c r="AS174" s="572"/>
      <c r="AT174" s="572"/>
      <c r="AU174" s="572"/>
      <c r="AV174" s="572"/>
      <c r="AW174" s="572"/>
      <c r="AX174" s="572"/>
      <c r="AY174" s="572"/>
      <c r="AZ174" s="572"/>
      <c r="BA174" s="572"/>
      <c r="BB174" s="572"/>
      <c r="BC174" s="572"/>
      <c r="BD174" s="572"/>
      <c r="BE174" s="572"/>
      <c r="BF174" s="572"/>
      <c r="BG174" s="572"/>
      <c r="BH174" s="572"/>
      <c r="BI174" s="572"/>
      <c r="BJ174" s="572"/>
      <c r="BK174" s="572"/>
      <c r="BL174" s="572"/>
      <c r="BM174" s="572"/>
      <c r="BN174" s="572"/>
      <c r="BO174" s="572"/>
      <c r="BP174" s="572"/>
      <c r="BQ174" s="572"/>
      <c r="BR174" s="572"/>
      <c r="BS174" s="572"/>
      <c r="BT174" s="572"/>
      <c r="BU174" s="572"/>
      <c r="BV174" s="572"/>
      <c r="BW174" s="572"/>
      <c r="BX174" s="572"/>
      <c r="BY174" s="572"/>
      <c r="BZ174" s="572"/>
      <c r="CA174" s="572"/>
      <c r="CB174" s="572"/>
      <c r="CC174" s="572"/>
      <c r="CD174" s="572"/>
      <c r="CE174" s="572"/>
      <c r="CF174" s="572"/>
      <c r="CG174" s="572"/>
      <c r="CH174" s="572"/>
      <c r="CI174" s="572"/>
      <c r="CJ174" s="572"/>
      <c r="CK174" s="572"/>
      <c r="CL174" s="572"/>
      <c r="CM174" s="572"/>
      <c r="CN174" s="572"/>
      <c r="CO174" s="572"/>
      <c r="CP174" s="572"/>
      <c r="CQ174" s="572"/>
      <c r="CR174" s="572"/>
      <c r="CS174" s="572"/>
      <c r="CT174" s="572"/>
    </row>
    <row r="175" spans="1:98" ht="12" customHeight="1">
      <c r="A175" s="556" t="s">
        <v>204</v>
      </c>
      <c r="B175" s="576">
        <v>6061554300</v>
      </c>
      <c r="C175" s="576">
        <v>6061554300</v>
      </c>
      <c r="D175" s="576">
        <v>11775519300</v>
      </c>
      <c r="E175" s="577">
        <v>17837073600</v>
      </c>
      <c r="F175" s="577">
        <v>17837073600</v>
      </c>
      <c r="G175" s="576">
        <v>197991516.96000001</v>
      </c>
      <c r="H175" s="570" t="s">
        <v>1089</v>
      </c>
      <c r="I175" s="571"/>
      <c r="J175" s="571"/>
      <c r="K175" s="571"/>
      <c r="N175" s="578"/>
      <c r="O175" s="578"/>
      <c r="P175" s="578"/>
      <c r="Q175" s="578"/>
      <c r="R175" s="578"/>
      <c r="S175" s="578"/>
      <c r="T175" s="579"/>
      <c r="W175" s="580"/>
      <c r="X175" s="580"/>
      <c r="Y175" s="580"/>
      <c r="Z175" s="580"/>
      <c r="AA175" s="580"/>
      <c r="AB175" s="580"/>
      <c r="AC175" s="580"/>
    </row>
    <row r="176" spans="1:98" ht="9" customHeight="1">
      <c r="B176" s="576"/>
      <c r="C176" s="576"/>
      <c r="D176" s="576"/>
      <c r="E176" s="577"/>
      <c r="F176" s="577"/>
      <c r="G176" s="576"/>
      <c r="N176" s="578"/>
      <c r="O176" s="578"/>
      <c r="P176" s="578"/>
      <c r="Q176" s="578"/>
      <c r="R176" s="578"/>
      <c r="S176" s="578"/>
      <c r="T176" s="579"/>
      <c r="W176" s="580"/>
      <c r="X176" s="580"/>
      <c r="Y176" s="580"/>
      <c r="Z176" s="580"/>
      <c r="AA176" s="580"/>
      <c r="AB176" s="580"/>
      <c r="AC176" s="580"/>
    </row>
    <row r="177" spans="1:98" s="567" customFormat="1" ht="12" customHeight="1">
      <c r="A177" s="567" t="s">
        <v>944</v>
      </c>
      <c r="B177" s="581">
        <v>60040600</v>
      </c>
      <c r="C177" s="581">
        <v>60040600</v>
      </c>
      <c r="D177" s="581">
        <v>143084745</v>
      </c>
      <c r="E177" s="582">
        <v>203125345</v>
      </c>
      <c r="F177" s="582">
        <v>203125345</v>
      </c>
      <c r="G177" s="581">
        <v>1625002.76</v>
      </c>
      <c r="H177" s="570">
        <v>2011</v>
      </c>
      <c r="I177" s="571"/>
      <c r="J177" s="571"/>
      <c r="K177" s="571"/>
      <c r="L177" s="572"/>
      <c r="M177" s="572"/>
      <c r="N177" s="583"/>
      <c r="O177" s="583"/>
      <c r="P177" s="583"/>
      <c r="Q177" s="583"/>
      <c r="R177" s="583"/>
      <c r="S177" s="583"/>
      <c r="T177" s="574"/>
      <c r="U177" s="572"/>
      <c r="V177" s="572"/>
      <c r="W177" s="575"/>
      <c r="X177" s="575"/>
      <c r="Y177" s="575"/>
      <c r="Z177" s="575"/>
      <c r="AA177" s="575"/>
      <c r="AB177" s="575"/>
      <c r="AC177" s="575"/>
      <c r="AD177" s="572"/>
      <c r="AE177" s="572"/>
      <c r="AF177" s="572"/>
      <c r="AG177" s="572"/>
      <c r="AH177" s="572"/>
      <c r="AI177" s="572"/>
      <c r="AJ177" s="572"/>
      <c r="AK177" s="572"/>
      <c r="AL177" s="572"/>
      <c r="AM177" s="572"/>
      <c r="AN177" s="572"/>
      <c r="AO177" s="572"/>
      <c r="AP177" s="572"/>
      <c r="AQ177" s="572"/>
      <c r="AR177" s="572"/>
      <c r="AS177" s="572"/>
      <c r="AT177" s="572"/>
      <c r="AU177" s="572"/>
      <c r="AV177" s="572"/>
      <c r="AW177" s="572"/>
      <c r="AX177" s="572"/>
      <c r="AY177" s="572"/>
      <c r="AZ177" s="572"/>
      <c r="BA177" s="572"/>
      <c r="BB177" s="572"/>
      <c r="BC177" s="572"/>
      <c r="BD177" s="572"/>
      <c r="BE177" s="572"/>
      <c r="BF177" s="572"/>
      <c r="BG177" s="572"/>
      <c r="BH177" s="572"/>
      <c r="BI177" s="572"/>
      <c r="BJ177" s="572"/>
      <c r="BK177" s="572"/>
      <c r="BL177" s="572"/>
      <c r="BM177" s="572"/>
      <c r="BN177" s="572"/>
      <c r="BO177" s="572"/>
      <c r="BP177" s="572"/>
      <c r="BQ177" s="572"/>
      <c r="BR177" s="572"/>
      <c r="BS177" s="572"/>
      <c r="BT177" s="572"/>
      <c r="BU177" s="572"/>
      <c r="BV177" s="572"/>
      <c r="BW177" s="572"/>
      <c r="BX177" s="572"/>
      <c r="BY177" s="572"/>
      <c r="BZ177" s="572"/>
      <c r="CA177" s="572"/>
      <c r="CB177" s="572"/>
      <c r="CC177" s="572"/>
      <c r="CD177" s="572"/>
      <c r="CE177" s="572"/>
      <c r="CF177" s="572"/>
      <c r="CG177" s="572"/>
      <c r="CH177" s="572"/>
      <c r="CI177" s="572"/>
      <c r="CJ177" s="572"/>
      <c r="CK177" s="572"/>
      <c r="CL177" s="572"/>
      <c r="CM177" s="572"/>
      <c r="CN177" s="572"/>
      <c r="CO177" s="572"/>
      <c r="CP177" s="572"/>
      <c r="CQ177" s="572"/>
      <c r="CR177" s="572"/>
      <c r="CS177" s="572"/>
      <c r="CT177" s="572"/>
    </row>
    <row r="178" spans="1:98" s="567" customFormat="1" ht="12" customHeight="1">
      <c r="A178" s="567" t="s">
        <v>208</v>
      </c>
      <c r="B178" s="581">
        <v>410115400</v>
      </c>
      <c r="C178" s="581">
        <v>401262200</v>
      </c>
      <c r="D178" s="581">
        <v>1403401300</v>
      </c>
      <c r="E178" s="582">
        <v>1813516700</v>
      </c>
      <c r="F178" s="582">
        <v>1804663500</v>
      </c>
      <c r="G178" s="581">
        <v>24362957.25</v>
      </c>
      <c r="H178" s="570" t="s">
        <v>1089</v>
      </c>
      <c r="I178" s="571"/>
      <c r="J178" s="571"/>
      <c r="K178" s="571"/>
      <c r="L178" s="572"/>
      <c r="M178" s="572"/>
      <c r="N178" s="583"/>
      <c r="O178" s="583"/>
      <c r="P178" s="583"/>
      <c r="Q178" s="583"/>
      <c r="R178" s="583"/>
      <c r="S178" s="583"/>
      <c r="T178" s="574"/>
      <c r="U178" s="572"/>
      <c r="V178" s="572"/>
      <c r="W178" s="575"/>
      <c r="X178" s="575"/>
      <c r="Y178" s="575"/>
      <c r="Z178" s="575"/>
      <c r="AA178" s="575"/>
      <c r="AB178" s="575"/>
      <c r="AC178" s="575"/>
      <c r="AD178" s="572"/>
      <c r="AE178" s="572"/>
      <c r="AF178" s="572"/>
      <c r="AG178" s="572"/>
      <c r="AH178" s="572"/>
      <c r="AI178" s="572"/>
      <c r="AJ178" s="572"/>
      <c r="AK178" s="572"/>
      <c r="AL178" s="572"/>
      <c r="AM178" s="572"/>
      <c r="AN178" s="572"/>
      <c r="AO178" s="572"/>
      <c r="AP178" s="572"/>
      <c r="AQ178" s="572"/>
      <c r="AR178" s="572"/>
      <c r="AS178" s="572"/>
      <c r="AT178" s="572"/>
      <c r="AU178" s="572"/>
      <c r="AV178" s="572"/>
      <c r="AW178" s="572"/>
      <c r="AX178" s="572"/>
      <c r="AY178" s="572"/>
      <c r="AZ178" s="572"/>
      <c r="BA178" s="572"/>
      <c r="BB178" s="572"/>
      <c r="BC178" s="572"/>
      <c r="BD178" s="572"/>
      <c r="BE178" s="572"/>
      <c r="BF178" s="572"/>
      <c r="BG178" s="572"/>
      <c r="BH178" s="572"/>
      <c r="BI178" s="572"/>
      <c r="BJ178" s="572"/>
      <c r="BK178" s="572"/>
      <c r="BL178" s="572"/>
      <c r="BM178" s="572"/>
      <c r="BN178" s="572"/>
      <c r="BO178" s="572"/>
      <c r="BP178" s="572"/>
      <c r="BQ178" s="572"/>
      <c r="BR178" s="572"/>
      <c r="BS178" s="572"/>
      <c r="BT178" s="572"/>
      <c r="BU178" s="572"/>
      <c r="BV178" s="572"/>
      <c r="BW178" s="572"/>
      <c r="BX178" s="572"/>
      <c r="BY178" s="572"/>
      <c r="BZ178" s="572"/>
      <c r="CA178" s="572"/>
      <c r="CB178" s="572"/>
      <c r="CC178" s="572"/>
      <c r="CD178" s="572"/>
      <c r="CE178" s="572"/>
      <c r="CF178" s="572"/>
      <c r="CG178" s="572"/>
      <c r="CH178" s="572"/>
      <c r="CI178" s="572"/>
      <c r="CJ178" s="572"/>
      <c r="CK178" s="572"/>
      <c r="CL178" s="572"/>
      <c r="CM178" s="572"/>
      <c r="CN178" s="572"/>
      <c r="CO178" s="572"/>
      <c r="CP178" s="572"/>
      <c r="CQ178" s="572"/>
      <c r="CR178" s="572"/>
      <c r="CS178" s="572"/>
      <c r="CT178" s="572"/>
    </row>
    <row r="179" spans="1:98" s="567" customFormat="1" ht="12" customHeight="1">
      <c r="A179" s="567" t="s">
        <v>945</v>
      </c>
      <c r="B179" s="581">
        <v>706142620</v>
      </c>
      <c r="C179" s="581">
        <v>706142620</v>
      </c>
      <c r="D179" s="581">
        <v>792720000</v>
      </c>
      <c r="E179" s="582">
        <v>1498862620</v>
      </c>
      <c r="F179" s="582">
        <v>1498862620</v>
      </c>
      <c r="G179" s="581">
        <v>13789536.104</v>
      </c>
      <c r="H179" s="570" t="s">
        <v>1089</v>
      </c>
      <c r="I179" s="571"/>
      <c r="J179" s="571"/>
      <c r="K179" s="571"/>
      <c r="L179" s="572"/>
      <c r="M179" s="572"/>
      <c r="N179" s="583"/>
      <c r="O179" s="583"/>
      <c r="P179" s="583"/>
      <c r="Q179" s="583"/>
      <c r="R179" s="583"/>
      <c r="S179" s="583"/>
      <c r="T179" s="574"/>
      <c r="U179" s="572"/>
      <c r="V179" s="572"/>
      <c r="W179" s="575"/>
      <c r="X179" s="575"/>
      <c r="Y179" s="575"/>
      <c r="Z179" s="575"/>
      <c r="AA179" s="575"/>
      <c r="AB179" s="575"/>
      <c r="AC179" s="575"/>
      <c r="AD179" s="572"/>
      <c r="AE179" s="572"/>
      <c r="AF179" s="572"/>
      <c r="AG179" s="572"/>
      <c r="AH179" s="572"/>
      <c r="AI179" s="572"/>
      <c r="AJ179" s="572"/>
      <c r="AK179" s="572"/>
      <c r="AL179" s="572"/>
      <c r="AM179" s="572"/>
      <c r="AN179" s="572"/>
      <c r="AO179" s="572"/>
      <c r="AP179" s="572"/>
      <c r="AQ179" s="572"/>
      <c r="AR179" s="572"/>
      <c r="AS179" s="572"/>
      <c r="AT179" s="572"/>
      <c r="AU179" s="572"/>
      <c r="AV179" s="572"/>
      <c r="AW179" s="572"/>
      <c r="AX179" s="572"/>
      <c r="AY179" s="572"/>
      <c r="AZ179" s="572"/>
      <c r="BA179" s="572"/>
      <c r="BB179" s="572"/>
      <c r="BC179" s="572"/>
      <c r="BD179" s="572"/>
      <c r="BE179" s="572"/>
      <c r="BF179" s="572"/>
      <c r="BG179" s="572"/>
      <c r="BH179" s="572"/>
      <c r="BI179" s="572"/>
      <c r="BJ179" s="572"/>
      <c r="BK179" s="572"/>
      <c r="BL179" s="572"/>
      <c r="BM179" s="572"/>
      <c r="BN179" s="572"/>
      <c r="BO179" s="572"/>
      <c r="BP179" s="572"/>
      <c r="BQ179" s="572"/>
      <c r="BR179" s="572"/>
      <c r="BS179" s="572"/>
      <c r="BT179" s="572"/>
      <c r="BU179" s="572"/>
      <c r="BV179" s="572"/>
      <c r="BW179" s="572"/>
      <c r="BX179" s="572"/>
      <c r="BY179" s="572"/>
      <c r="BZ179" s="572"/>
      <c r="CA179" s="572"/>
      <c r="CB179" s="572"/>
      <c r="CC179" s="572"/>
      <c r="CD179" s="572"/>
      <c r="CE179" s="572"/>
      <c r="CF179" s="572"/>
      <c r="CG179" s="572"/>
      <c r="CH179" s="572"/>
      <c r="CI179" s="572"/>
      <c r="CJ179" s="572"/>
      <c r="CK179" s="572"/>
      <c r="CL179" s="572"/>
      <c r="CM179" s="572"/>
      <c r="CN179" s="572"/>
      <c r="CO179" s="572"/>
      <c r="CP179" s="572"/>
      <c r="CQ179" s="572"/>
      <c r="CR179" s="572"/>
      <c r="CS179" s="572"/>
      <c r="CT179" s="572"/>
    </row>
    <row r="180" spans="1:98" ht="12" customHeight="1">
      <c r="A180" s="556" t="s">
        <v>212</v>
      </c>
      <c r="B180" s="576">
        <v>2077087492</v>
      </c>
      <c r="C180" s="576">
        <v>2068187462</v>
      </c>
      <c r="D180" s="576">
        <v>4915774628</v>
      </c>
      <c r="E180" s="577">
        <v>6992862120</v>
      </c>
      <c r="F180" s="577">
        <v>6983962090</v>
      </c>
      <c r="G180" s="576">
        <v>88696318.543000013</v>
      </c>
      <c r="H180" s="557" t="s">
        <v>1089</v>
      </c>
      <c r="I180" s="571"/>
      <c r="J180" s="571"/>
      <c r="K180" s="571"/>
      <c r="N180" s="578"/>
      <c r="O180" s="578"/>
      <c r="P180" s="578"/>
      <c r="Q180" s="578"/>
      <c r="R180" s="578"/>
      <c r="S180" s="578"/>
      <c r="T180" s="579"/>
      <c r="W180" s="580"/>
      <c r="X180" s="580"/>
      <c r="Y180" s="580"/>
      <c r="Z180" s="580"/>
      <c r="AA180" s="580"/>
      <c r="AB180" s="580"/>
      <c r="AC180" s="580"/>
    </row>
    <row r="181" spans="1:98" ht="12" customHeight="1">
      <c r="A181" s="556" t="s">
        <v>214</v>
      </c>
      <c r="B181" s="576">
        <v>162151700</v>
      </c>
      <c r="C181" s="576">
        <v>160394290</v>
      </c>
      <c r="D181" s="576">
        <v>634834800</v>
      </c>
      <c r="E181" s="577">
        <v>796986500</v>
      </c>
      <c r="F181" s="577">
        <v>795229090</v>
      </c>
      <c r="G181" s="576">
        <v>6043741.0840000007</v>
      </c>
      <c r="H181" s="557">
        <v>2011</v>
      </c>
      <c r="I181" s="571"/>
      <c r="J181" s="571"/>
      <c r="K181" s="571"/>
      <c r="N181" s="578"/>
      <c r="O181" s="578"/>
      <c r="P181" s="578"/>
      <c r="Q181" s="578"/>
      <c r="R181" s="578"/>
      <c r="S181" s="578"/>
      <c r="T181" s="579"/>
      <c r="W181" s="580"/>
      <c r="X181" s="580"/>
      <c r="Y181" s="580"/>
      <c r="Z181" s="580"/>
      <c r="AA181" s="580"/>
      <c r="AB181" s="580"/>
      <c r="AC181" s="580"/>
    </row>
    <row r="182" spans="1:98" ht="9" customHeight="1">
      <c r="B182" s="576"/>
      <c r="C182" s="576"/>
      <c r="D182" s="576"/>
      <c r="E182" s="577"/>
      <c r="F182" s="577"/>
      <c r="G182" s="576"/>
      <c r="N182" s="578"/>
      <c r="O182" s="578"/>
      <c r="P182" s="578"/>
      <c r="Q182" s="578"/>
      <c r="R182" s="578"/>
      <c r="S182" s="578"/>
      <c r="T182" s="579"/>
      <c r="W182" s="580"/>
      <c r="X182" s="580"/>
      <c r="Y182" s="580"/>
      <c r="Z182" s="580"/>
      <c r="AA182" s="580"/>
      <c r="AB182" s="580"/>
      <c r="AC182" s="580"/>
    </row>
    <row r="183" spans="1:98" ht="12" customHeight="1">
      <c r="A183" s="556" t="s">
        <v>178</v>
      </c>
      <c r="B183" s="576">
        <v>5233635000</v>
      </c>
      <c r="C183" s="576">
        <v>5233635000</v>
      </c>
      <c r="D183" s="576">
        <v>15180641000</v>
      </c>
      <c r="E183" s="577">
        <v>20414276000</v>
      </c>
      <c r="F183" s="577">
        <v>20414276000</v>
      </c>
      <c r="G183" s="576">
        <v>244971312</v>
      </c>
      <c r="H183" s="557">
        <v>2011</v>
      </c>
      <c r="I183" s="571"/>
      <c r="J183" s="571"/>
      <c r="K183" s="571"/>
      <c r="N183" s="578"/>
      <c r="O183" s="578"/>
      <c r="P183" s="578"/>
      <c r="Q183" s="578"/>
      <c r="R183" s="578"/>
      <c r="S183" s="578"/>
      <c r="T183" s="579"/>
      <c r="W183" s="580"/>
      <c r="X183" s="580"/>
      <c r="Y183" s="580"/>
      <c r="Z183" s="580"/>
      <c r="AA183" s="580"/>
      <c r="AB183" s="580"/>
      <c r="AC183" s="580"/>
    </row>
    <row r="184" spans="1:98" ht="12" customHeight="1">
      <c r="A184" s="556" t="s">
        <v>37</v>
      </c>
      <c r="B184" s="576">
        <v>1499042600</v>
      </c>
      <c r="C184" s="576">
        <v>1499042600</v>
      </c>
      <c r="D184" s="576">
        <v>5461203500</v>
      </c>
      <c r="E184" s="577">
        <v>6960246100</v>
      </c>
      <c r="F184" s="577">
        <v>6960246100</v>
      </c>
      <c r="G184" s="576">
        <v>82826928.590000004</v>
      </c>
      <c r="H184" s="570" t="s">
        <v>1089</v>
      </c>
      <c r="I184" s="571"/>
      <c r="J184" s="571"/>
      <c r="K184" s="571"/>
      <c r="N184" s="578"/>
      <c r="O184" s="578"/>
      <c r="P184" s="578"/>
      <c r="Q184" s="578"/>
      <c r="R184" s="578"/>
      <c r="S184" s="578"/>
      <c r="T184" s="579"/>
      <c r="W184" s="580"/>
      <c r="X184" s="580"/>
      <c r="Y184" s="580"/>
      <c r="Z184" s="580"/>
      <c r="AA184" s="580"/>
      <c r="AB184" s="580"/>
      <c r="AC184" s="580"/>
    </row>
    <row r="185" spans="1:98" s="567" customFormat="1" ht="12" customHeight="1">
      <c r="A185" s="567" t="s">
        <v>215</v>
      </c>
      <c r="B185" s="581">
        <v>491097500</v>
      </c>
      <c r="C185" s="581">
        <v>491097500</v>
      </c>
      <c r="D185" s="581">
        <v>1484997100</v>
      </c>
      <c r="E185" s="582">
        <v>1976094600</v>
      </c>
      <c r="F185" s="582">
        <v>1976094600</v>
      </c>
      <c r="G185" s="581">
        <v>23317916.279999997</v>
      </c>
      <c r="H185" s="570" t="s">
        <v>1089</v>
      </c>
      <c r="I185" s="571"/>
      <c r="J185" s="571"/>
      <c r="K185" s="571"/>
      <c r="L185" s="572"/>
      <c r="M185" s="572"/>
      <c r="N185" s="583"/>
      <c r="O185" s="583"/>
      <c r="P185" s="583"/>
      <c r="Q185" s="583"/>
      <c r="R185" s="583"/>
      <c r="S185" s="583"/>
      <c r="T185" s="574"/>
      <c r="U185" s="572"/>
      <c r="V185" s="572"/>
      <c r="W185" s="575"/>
      <c r="X185" s="575"/>
      <c r="Y185" s="575"/>
      <c r="Z185" s="575"/>
      <c r="AA185" s="575"/>
      <c r="AB185" s="575"/>
      <c r="AC185" s="575"/>
      <c r="AD185" s="572"/>
      <c r="AE185" s="572"/>
      <c r="AF185" s="572"/>
      <c r="AG185" s="572"/>
      <c r="AH185" s="572"/>
      <c r="AI185" s="572"/>
      <c r="AJ185" s="572"/>
      <c r="AK185" s="572"/>
      <c r="AL185" s="572"/>
      <c r="AM185" s="572"/>
      <c r="AN185" s="572"/>
      <c r="AO185" s="572"/>
      <c r="AP185" s="572"/>
      <c r="AQ185" s="572"/>
      <c r="AR185" s="572"/>
      <c r="AS185" s="572"/>
      <c r="AT185" s="572"/>
      <c r="AU185" s="572"/>
      <c r="AV185" s="572"/>
      <c r="AW185" s="572"/>
      <c r="AX185" s="572"/>
      <c r="AY185" s="572"/>
      <c r="AZ185" s="572"/>
      <c r="BA185" s="572"/>
      <c r="BB185" s="572"/>
      <c r="BC185" s="572"/>
      <c r="BD185" s="572"/>
      <c r="BE185" s="572"/>
      <c r="BF185" s="572"/>
      <c r="BG185" s="572"/>
      <c r="BH185" s="572"/>
      <c r="BI185" s="572"/>
      <c r="BJ185" s="572"/>
      <c r="BK185" s="572"/>
      <c r="BL185" s="572"/>
      <c r="BM185" s="572"/>
      <c r="BN185" s="572"/>
      <c r="BO185" s="572"/>
      <c r="BP185" s="572"/>
      <c r="BQ185" s="572"/>
      <c r="BR185" s="572"/>
      <c r="BS185" s="572"/>
      <c r="BT185" s="572"/>
      <c r="BU185" s="572"/>
      <c r="BV185" s="572"/>
      <c r="BW185" s="572"/>
      <c r="BX185" s="572"/>
      <c r="BY185" s="572"/>
      <c r="BZ185" s="572"/>
      <c r="CA185" s="572"/>
      <c r="CB185" s="572"/>
      <c r="CC185" s="572"/>
      <c r="CD185" s="572"/>
      <c r="CE185" s="572"/>
      <c r="CF185" s="572"/>
      <c r="CG185" s="572"/>
      <c r="CH185" s="572"/>
      <c r="CI185" s="572"/>
      <c r="CJ185" s="572"/>
      <c r="CK185" s="572"/>
      <c r="CL185" s="572"/>
      <c r="CM185" s="572"/>
      <c r="CN185" s="572"/>
      <c r="CO185" s="572"/>
      <c r="CP185" s="572"/>
      <c r="CQ185" s="572"/>
      <c r="CR185" s="572"/>
      <c r="CS185" s="572"/>
      <c r="CT185" s="572"/>
    </row>
    <row r="186" spans="1:98" s="567" customFormat="1" ht="12" customHeight="1">
      <c r="A186" s="567" t="s">
        <v>216</v>
      </c>
      <c r="B186" s="581">
        <v>444157000</v>
      </c>
      <c r="C186" s="581">
        <v>423501112</v>
      </c>
      <c r="D186" s="581">
        <v>1396820989</v>
      </c>
      <c r="E186" s="582">
        <v>1840977989</v>
      </c>
      <c r="F186" s="582">
        <v>1820322101</v>
      </c>
      <c r="G186" s="581">
        <v>16382898.909000002</v>
      </c>
      <c r="H186" s="570">
        <v>2011</v>
      </c>
      <c r="I186" s="571"/>
      <c r="J186" s="571"/>
      <c r="K186" s="571"/>
      <c r="L186" s="572"/>
      <c r="M186" s="572"/>
      <c r="N186" s="583"/>
      <c r="O186" s="583"/>
      <c r="P186" s="583"/>
      <c r="Q186" s="583"/>
      <c r="R186" s="583"/>
      <c r="S186" s="583"/>
      <c r="T186" s="574"/>
      <c r="U186" s="572"/>
      <c r="V186" s="572"/>
      <c r="W186" s="575"/>
      <c r="X186" s="575"/>
      <c r="Y186" s="575"/>
      <c r="Z186" s="575"/>
      <c r="AA186" s="575"/>
      <c r="AB186" s="575"/>
      <c r="AC186" s="575"/>
      <c r="AD186" s="572"/>
      <c r="AE186" s="572"/>
      <c r="AF186" s="572"/>
      <c r="AG186" s="572"/>
      <c r="AH186" s="572"/>
      <c r="AI186" s="572"/>
      <c r="AJ186" s="572"/>
      <c r="AK186" s="572"/>
      <c r="AL186" s="572"/>
      <c r="AM186" s="572"/>
      <c r="AN186" s="572"/>
      <c r="AO186" s="572"/>
      <c r="AP186" s="572"/>
      <c r="AQ186" s="572"/>
      <c r="AR186" s="572"/>
      <c r="AS186" s="572"/>
      <c r="AT186" s="572"/>
      <c r="AU186" s="572"/>
      <c r="AV186" s="572"/>
      <c r="AW186" s="572"/>
      <c r="AX186" s="572"/>
      <c r="AY186" s="572"/>
      <c r="AZ186" s="572"/>
      <c r="BA186" s="572"/>
      <c r="BB186" s="572"/>
      <c r="BC186" s="572"/>
      <c r="BD186" s="572"/>
      <c r="BE186" s="572"/>
      <c r="BF186" s="572"/>
      <c r="BG186" s="572"/>
      <c r="BH186" s="572"/>
      <c r="BI186" s="572"/>
      <c r="BJ186" s="572"/>
      <c r="BK186" s="572"/>
      <c r="BL186" s="572"/>
      <c r="BM186" s="572"/>
      <c r="BN186" s="572"/>
      <c r="BO186" s="572"/>
      <c r="BP186" s="572"/>
      <c r="BQ186" s="572"/>
      <c r="BR186" s="572"/>
      <c r="BS186" s="572"/>
      <c r="BT186" s="572"/>
      <c r="BU186" s="572"/>
      <c r="BV186" s="572"/>
      <c r="BW186" s="572"/>
      <c r="BX186" s="572"/>
      <c r="BY186" s="572"/>
      <c r="BZ186" s="572"/>
      <c r="CA186" s="572"/>
      <c r="CB186" s="572"/>
      <c r="CC186" s="572"/>
      <c r="CD186" s="572"/>
      <c r="CE186" s="572"/>
      <c r="CF186" s="572"/>
      <c r="CG186" s="572"/>
      <c r="CH186" s="572"/>
      <c r="CI186" s="572"/>
      <c r="CJ186" s="572"/>
      <c r="CK186" s="572"/>
      <c r="CL186" s="572"/>
      <c r="CM186" s="572"/>
      <c r="CN186" s="572"/>
      <c r="CO186" s="572"/>
      <c r="CP186" s="572"/>
      <c r="CQ186" s="572"/>
      <c r="CR186" s="572"/>
      <c r="CS186" s="572"/>
      <c r="CT186" s="572"/>
    </row>
    <row r="187" spans="1:98" ht="12" customHeight="1">
      <c r="A187" s="556" t="s">
        <v>217</v>
      </c>
      <c r="B187" s="576">
        <v>3538477500</v>
      </c>
      <c r="C187" s="576">
        <v>2975146700</v>
      </c>
      <c r="D187" s="576">
        <v>5832704200</v>
      </c>
      <c r="E187" s="577">
        <v>9371181700</v>
      </c>
      <c r="F187" s="577">
        <v>8807850900</v>
      </c>
      <c r="G187" s="576">
        <v>86613203</v>
      </c>
      <c r="H187" s="557" t="s">
        <v>1089</v>
      </c>
      <c r="I187" s="571"/>
      <c r="J187" s="571"/>
      <c r="K187" s="571"/>
      <c r="N187" s="578"/>
      <c r="O187" s="578"/>
      <c r="P187" s="578"/>
      <c r="Q187" s="578"/>
      <c r="R187" s="578"/>
      <c r="S187" s="578"/>
      <c r="T187" s="579"/>
      <c r="W187" s="580"/>
      <c r="X187" s="580"/>
      <c r="Y187" s="580"/>
      <c r="Z187" s="580"/>
      <c r="AA187" s="580"/>
      <c r="AB187" s="580"/>
      <c r="AC187" s="580"/>
    </row>
    <row r="188" spans="1:98" ht="9" customHeight="1">
      <c r="B188" s="576"/>
      <c r="C188" s="576"/>
      <c r="D188" s="576"/>
      <c r="E188" s="577"/>
      <c r="F188" s="577"/>
      <c r="G188" s="576"/>
      <c r="N188" s="578"/>
      <c r="O188" s="578"/>
      <c r="P188" s="578"/>
      <c r="Q188" s="578"/>
      <c r="R188" s="578"/>
      <c r="S188" s="578"/>
      <c r="T188" s="579"/>
      <c r="W188" s="580"/>
      <c r="X188" s="580"/>
      <c r="Y188" s="580"/>
      <c r="Z188" s="580"/>
      <c r="AA188" s="580"/>
      <c r="AB188" s="580"/>
      <c r="AC188" s="580"/>
    </row>
    <row r="189" spans="1:98" ht="12" customHeight="1">
      <c r="A189" s="556" t="s">
        <v>801</v>
      </c>
      <c r="B189" s="576">
        <v>24745793709</v>
      </c>
      <c r="C189" s="576">
        <v>24401357809</v>
      </c>
      <c r="D189" s="576">
        <v>26139150865</v>
      </c>
      <c r="E189" s="577">
        <v>50884944574</v>
      </c>
      <c r="F189" s="577">
        <v>50540508674</v>
      </c>
      <c r="G189" s="576">
        <v>449810527.19859999</v>
      </c>
      <c r="H189" s="557" t="s">
        <v>1089</v>
      </c>
      <c r="I189" s="571"/>
      <c r="J189" s="571"/>
      <c r="K189" s="571"/>
      <c r="N189" s="578"/>
      <c r="O189" s="578"/>
      <c r="P189" s="578"/>
      <c r="Q189" s="578"/>
      <c r="R189" s="578"/>
      <c r="S189" s="578"/>
      <c r="T189" s="579"/>
      <c r="W189" s="580"/>
      <c r="X189" s="580"/>
      <c r="Y189" s="580"/>
      <c r="Z189" s="580"/>
      <c r="AA189" s="580"/>
      <c r="AB189" s="580"/>
      <c r="AC189" s="580"/>
    </row>
    <row r="190" spans="1:98" s="567" customFormat="1" ht="12" customHeight="1">
      <c r="A190" s="567" t="s">
        <v>219</v>
      </c>
      <c r="B190" s="581">
        <v>639133500</v>
      </c>
      <c r="C190" s="581">
        <v>624027700</v>
      </c>
      <c r="D190" s="581">
        <v>1120876600</v>
      </c>
      <c r="E190" s="582">
        <v>1760010100</v>
      </c>
      <c r="F190" s="582">
        <v>1744904300</v>
      </c>
      <c r="G190" s="581">
        <v>13086782.25</v>
      </c>
      <c r="H190" s="570">
        <v>2011</v>
      </c>
      <c r="I190" s="571"/>
      <c r="J190" s="571"/>
      <c r="K190" s="571"/>
      <c r="L190" s="572"/>
      <c r="M190" s="572"/>
      <c r="N190" s="583"/>
      <c r="O190" s="583"/>
      <c r="P190" s="583"/>
      <c r="Q190" s="583"/>
      <c r="R190" s="583"/>
      <c r="S190" s="583"/>
      <c r="T190" s="574"/>
      <c r="U190" s="572"/>
      <c r="V190" s="572"/>
      <c r="W190" s="575"/>
      <c r="X190" s="575"/>
      <c r="Y190" s="575"/>
      <c r="Z190" s="575"/>
      <c r="AA190" s="575"/>
      <c r="AB190" s="575"/>
      <c r="AC190" s="575"/>
      <c r="AD190" s="572"/>
      <c r="AE190" s="572"/>
      <c r="AF190" s="572"/>
      <c r="AG190" s="572"/>
      <c r="AH190" s="572"/>
      <c r="AI190" s="572"/>
      <c r="AJ190" s="572"/>
      <c r="AK190" s="572"/>
      <c r="AL190" s="572"/>
      <c r="AM190" s="572"/>
      <c r="AN190" s="572"/>
      <c r="AO190" s="572"/>
      <c r="AP190" s="572"/>
      <c r="AQ190" s="572"/>
      <c r="AR190" s="572"/>
      <c r="AS190" s="572"/>
      <c r="AT190" s="572"/>
      <c r="AU190" s="572"/>
      <c r="AV190" s="572"/>
      <c r="AW190" s="572"/>
      <c r="AX190" s="572"/>
      <c r="AY190" s="572"/>
      <c r="AZ190" s="572"/>
      <c r="BA190" s="572"/>
      <c r="BB190" s="572"/>
      <c r="BC190" s="572"/>
      <c r="BD190" s="572"/>
      <c r="BE190" s="572"/>
      <c r="BF190" s="572"/>
      <c r="BG190" s="572"/>
      <c r="BH190" s="572"/>
      <c r="BI190" s="572"/>
      <c r="BJ190" s="572"/>
      <c r="BK190" s="572"/>
      <c r="BL190" s="572"/>
      <c r="BM190" s="572"/>
      <c r="BN190" s="572"/>
      <c r="BO190" s="572"/>
      <c r="BP190" s="572"/>
      <c r="BQ190" s="572"/>
      <c r="BR190" s="572"/>
      <c r="BS190" s="572"/>
      <c r="BT190" s="572"/>
      <c r="BU190" s="572"/>
      <c r="BV190" s="572"/>
      <c r="BW190" s="572"/>
      <c r="BX190" s="572"/>
      <c r="BY190" s="572"/>
      <c r="BZ190" s="572"/>
      <c r="CA190" s="572"/>
      <c r="CB190" s="572"/>
      <c r="CC190" s="572"/>
      <c r="CD190" s="572"/>
      <c r="CE190" s="572"/>
      <c r="CF190" s="572"/>
      <c r="CG190" s="572"/>
      <c r="CH190" s="572"/>
      <c r="CI190" s="572"/>
      <c r="CJ190" s="572"/>
      <c r="CK190" s="572"/>
      <c r="CL190" s="572"/>
      <c r="CM190" s="572"/>
      <c r="CN190" s="572"/>
      <c r="CO190" s="572"/>
      <c r="CP190" s="572"/>
      <c r="CQ190" s="572"/>
      <c r="CR190" s="572"/>
      <c r="CS190" s="572"/>
      <c r="CT190" s="572"/>
    </row>
    <row r="191" spans="1:98" ht="12" customHeight="1">
      <c r="A191" s="556" t="s">
        <v>946</v>
      </c>
      <c r="B191" s="576">
        <v>605592300</v>
      </c>
      <c r="C191" s="576">
        <v>605592300</v>
      </c>
      <c r="D191" s="576">
        <v>1130565300</v>
      </c>
      <c r="E191" s="577">
        <v>1736157600</v>
      </c>
      <c r="F191" s="577">
        <v>1736157600</v>
      </c>
      <c r="G191" s="576">
        <v>9375251.040000001</v>
      </c>
      <c r="H191" s="557" t="s">
        <v>1089</v>
      </c>
      <c r="I191" s="571"/>
      <c r="J191" s="571"/>
      <c r="K191" s="571"/>
      <c r="N191" s="578"/>
      <c r="O191" s="578"/>
      <c r="P191" s="578"/>
      <c r="Q191" s="578"/>
      <c r="R191" s="578"/>
      <c r="S191" s="578"/>
      <c r="T191" s="579"/>
      <c r="W191" s="580"/>
      <c r="X191" s="580"/>
      <c r="Y191" s="580"/>
      <c r="Z191" s="580"/>
      <c r="AA191" s="580"/>
      <c r="AB191" s="580"/>
      <c r="AC191" s="580"/>
    </row>
    <row r="192" spans="1:98" ht="12" customHeight="1">
      <c r="A192" s="558" t="s">
        <v>223</v>
      </c>
      <c r="B192" s="591">
        <v>1062082100</v>
      </c>
      <c r="C192" s="591">
        <v>1057761800</v>
      </c>
      <c r="D192" s="591">
        <v>1686802100</v>
      </c>
      <c r="E192" s="578">
        <v>2748884200</v>
      </c>
      <c r="F192" s="578">
        <v>2744563900</v>
      </c>
      <c r="G192" s="591">
        <v>23603249.539999999</v>
      </c>
      <c r="H192" s="610">
        <v>2011</v>
      </c>
      <c r="I192" s="571"/>
      <c r="J192" s="571"/>
      <c r="K192" s="571"/>
      <c r="N192" s="578"/>
      <c r="O192" s="578"/>
      <c r="P192" s="578"/>
      <c r="Q192" s="578"/>
      <c r="R192" s="578"/>
      <c r="S192" s="578"/>
      <c r="T192" s="579"/>
      <c r="W192" s="580"/>
      <c r="X192" s="580"/>
      <c r="Y192" s="580"/>
      <c r="Z192" s="580"/>
      <c r="AA192" s="580"/>
      <c r="AB192" s="580"/>
      <c r="AC192" s="580"/>
    </row>
    <row r="193" spans="1:98">
      <c r="I193" s="571"/>
      <c r="J193" s="571"/>
      <c r="K193" s="571"/>
    </row>
    <row r="194" spans="1:98" s="601" customFormat="1" ht="12.75" customHeight="1">
      <c r="A194" s="611" t="s">
        <v>39</v>
      </c>
      <c r="B194" s="595">
        <f>SUM(B142:B164,B171:B192)</f>
        <v>91069019937</v>
      </c>
      <c r="C194" s="595">
        <f t="shared" ref="C194:G194" si="1">SUM(C142:C164,C171:C192)</f>
        <v>89976076119</v>
      </c>
      <c r="D194" s="595">
        <f t="shared" si="1"/>
        <v>157437149284</v>
      </c>
      <c r="E194" s="595">
        <f t="shared" si="1"/>
        <v>248506169221</v>
      </c>
      <c r="F194" s="595">
        <f t="shared" si="1"/>
        <v>247413225403</v>
      </c>
      <c r="G194" s="595">
        <f t="shared" si="1"/>
        <v>2511673055.5805998</v>
      </c>
      <c r="H194" s="596"/>
      <c r="L194" s="598"/>
      <c r="M194" s="598"/>
      <c r="N194" s="600"/>
      <c r="O194" s="600"/>
      <c r="P194" s="600"/>
      <c r="Q194" s="600"/>
      <c r="R194" s="600"/>
      <c r="S194" s="600"/>
      <c r="T194" s="598"/>
      <c r="U194" s="598"/>
      <c r="V194" s="598"/>
      <c r="W194" s="598"/>
      <c r="X194" s="598"/>
      <c r="Y194" s="598"/>
      <c r="Z194" s="598"/>
      <c r="AA194" s="598"/>
      <c r="AB194" s="598"/>
      <c r="AC194" s="598"/>
      <c r="AD194" s="598"/>
      <c r="AE194" s="598"/>
      <c r="AF194" s="598"/>
      <c r="AG194" s="598"/>
      <c r="AH194" s="598"/>
      <c r="AI194" s="598"/>
      <c r="AJ194" s="598"/>
      <c r="AK194" s="598"/>
      <c r="AL194" s="598"/>
      <c r="AM194" s="598"/>
      <c r="AN194" s="598"/>
      <c r="AO194" s="598"/>
      <c r="AP194" s="598"/>
      <c r="AQ194" s="598"/>
      <c r="AR194" s="598"/>
      <c r="AS194" s="598"/>
      <c r="AT194" s="598"/>
      <c r="AU194" s="598"/>
      <c r="AV194" s="598"/>
      <c r="AW194" s="598"/>
      <c r="AX194" s="598"/>
      <c r="AY194" s="598"/>
      <c r="AZ194" s="598"/>
      <c r="BA194" s="598"/>
      <c r="BB194" s="598"/>
      <c r="BC194" s="598"/>
      <c r="BD194" s="598"/>
      <c r="BE194" s="598"/>
      <c r="BF194" s="598"/>
      <c r="BG194" s="598"/>
      <c r="BH194" s="598"/>
      <c r="BI194" s="598"/>
      <c r="BJ194" s="598"/>
      <c r="BK194" s="598"/>
      <c r="BL194" s="598"/>
      <c r="BM194" s="598"/>
      <c r="BN194" s="598"/>
      <c r="BO194" s="598"/>
      <c r="BP194" s="598"/>
      <c r="BQ194" s="598"/>
      <c r="BR194" s="598"/>
      <c r="BS194" s="598"/>
      <c r="BT194" s="598"/>
      <c r="BU194" s="598"/>
      <c r="BV194" s="598"/>
      <c r="BW194" s="598"/>
      <c r="BX194" s="598"/>
      <c r="BY194" s="598"/>
      <c r="BZ194" s="598"/>
      <c r="CA194" s="598"/>
      <c r="CB194" s="598"/>
      <c r="CC194" s="598"/>
      <c r="CD194" s="598"/>
      <c r="CE194" s="598"/>
      <c r="CF194" s="598"/>
      <c r="CG194" s="598"/>
      <c r="CH194" s="598"/>
      <c r="CI194" s="598"/>
      <c r="CJ194" s="598"/>
      <c r="CK194" s="598"/>
      <c r="CL194" s="598"/>
      <c r="CM194" s="598"/>
      <c r="CN194" s="598"/>
      <c r="CO194" s="598"/>
      <c r="CP194" s="598"/>
      <c r="CQ194" s="598"/>
      <c r="CR194" s="598"/>
      <c r="CS194" s="598"/>
      <c r="CT194" s="598"/>
    </row>
    <row r="195" spans="1:98" s="601" customFormat="1" ht="12.75" customHeight="1">
      <c r="A195" s="611" t="s">
        <v>34</v>
      </c>
      <c r="B195" s="595">
        <f t="shared" ref="B195:G195" si="2">B136</f>
        <v>286081852933</v>
      </c>
      <c r="C195" s="595">
        <f t="shared" si="2"/>
        <v>257501340602</v>
      </c>
      <c r="D195" s="595">
        <f t="shared" si="2"/>
        <v>444104875451</v>
      </c>
      <c r="E195" s="595">
        <f t="shared" si="2"/>
        <v>730186728384</v>
      </c>
      <c r="F195" s="595">
        <f t="shared" si="2"/>
        <v>701606216053</v>
      </c>
      <c r="G195" s="595">
        <f t="shared" si="2"/>
        <v>6278774843.720746</v>
      </c>
      <c r="H195" s="596"/>
      <c r="L195" s="598"/>
      <c r="M195" s="598"/>
      <c r="N195" s="600"/>
      <c r="O195" s="600"/>
      <c r="P195" s="600"/>
      <c r="Q195" s="600"/>
      <c r="R195" s="600"/>
      <c r="S195" s="600"/>
      <c r="T195" s="598"/>
      <c r="U195" s="598"/>
      <c r="V195" s="598"/>
      <c r="W195" s="598"/>
      <c r="X195" s="598"/>
      <c r="Y195" s="598"/>
      <c r="Z195" s="598"/>
      <c r="AA195" s="598"/>
      <c r="AB195" s="598"/>
      <c r="AC195" s="598"/>
      <c r="AD195" s="598"/>
      <c r="AE195" s="598"/>
      <c r="AF195" s="598"/>
      <c r="AG195" s="598"/>
      <c r="AH195" s="598"/>
      <c r="AI195" s="598"/>
      <c r="AJ195" s="598"/>
      <c r="AK195" s="598"/>
      <c r="AL195" s="598"/>
      <c r="AM195" s="598"/>
      <c r="AN195" s="598"/>
      <c r="AO195" s="598"/>
      <c r="AP195" s="598"/>
      <c r="AQ195" s="598"/>
      <c r="AR195" s="598"/>
      <c r="AS195" s="598"/>
      <c r="AT195" s="598"/>
      <c r="AU195" s="598"/>
      <c r="AV195" s="598"/>
      <c r="AW195" s="598"/>
      <c r="AX195" s="598"/>
      <c r="AY195" s="598"/>
      <c r="AZ195" s="598"/>
      <c r="BA195" s="598"/>
      <c r="BB195" s="598"/>
      <c r="BC195" s="598"/>
      <c r="BD195" s="598"/>
      <c r="BE195" s="598"/>
      <c r="BF195" s="598"/>
      <c r="BG195" s="598"/>
      <c r="BH195" s="598"/>
      <c r="BI195" s="598"/>
      <c r="BJ195" s="598"/>
      <c r="BK195" s="598"/>
      <c r="BL195" s="598"/>
      <c r="BM195" s="598"/>
      <c r="BN195" s="598"/>
      <c r="BO195" s="598"/>
      <c r="BP195" s="598"/>
      <c r="BQ195" s="598"/>
      <c r="BR195" s="598"/>
      <c r="BS195" s="598"/>
      <c r="BT195" s="598"/>
      <c r="BU195" s="598"/>
      <c r="BV195" s="598"/>
      <c r="BW195" s="598"/>
      <c r="BX195" s="598"/>
      <c r="BY195" s="598"/>
      <c r="BZ195" s="598"/>
      <c r="CA195" s="598"/>
      <c r="CB195" s="598"/>
      <c r="CC195" s="598"/>
      <c r="CD195" s="598"/>
      <c r="CE195" s="598"/>
      <c r="CF195" s="598"/>
      <c r="CG195" s="598"/>
      <c r="CH195" s="598"/>
      <c r="CI195" s="598"/>
      <c r="CJ195" s="598"/>
      <c r="CK195" s="598"/>
      <c r="CL195" s="598"/>
      <c r="CM195" s="598"/>
      <c r="CN195" s="598"/>
      <c r="CO195" s="598"/>
      <c r="CP195" s="598"/>
      <c r="CQ195" s="598"/>
      <c r="CR195" s="598"/>
      <c r="CS195" s="598"/>
      <c r="CT195" s="598"/>
    </row>
    <row r="196" spans="1:98">
      <c r="A196" s="612"/>
      <c r="B196" s="613"/>
      <c r="C196" s="613"/>
      <c r="D196" s="613"/>
      <c r="E196" s="613"/>
      <c r="F196" s="613"/>
      <c r="G196" s="613"/>
      <c r="H196" s="614"/>
      <c r="N196" s="602"/>
      <c r="O196" s="602"/>
      <c r="P196" s="602"/>
      <c r="Q196" s="602"/>
      <c r="R196" s="602"/>
      <c r="S196" s="602"/>
    </row>
    <row r="197" spans="1:98" s="601" customFormat="1" ht="12.75" customHeight="1">
      <c r="A197" s="611" t="s">
        <v>40</v>
      </c>
      <c r="B197" s="595">
        <f t="shared" ref="B197:G197" si="3">B194+B195</f>
        <v>377150872870</v>
      </c>
      <c r="C197" s="595">
        <f t="shared" si="3"/>
        <v>347477416721</v>
      </c>
      <c r="D197" s="595">
        <f t="shared" si="3"/>
        <v>601542024735</v>
      </c>
      <c r="E197" s="595">
        <f t="shared" si="3"/>
        <v>978692897605</v>
      </c>
      <c r="F197" s="595">
        <f t="shared" si="3"/>
        <v>949019441456</v>
      </c>
      <c r="G197" s="595">
        <f t="shared" si="3"/>
        <v>8790447899.3013458</v>
      </c>
      <c r="H197" s="596"/>
      <c r="L197" s="598"/>
      <c r="M197" s="598"/>
      <c r="N197" s="600"/>
      <c r="O197" s="600"/>
      <c r="P197" s="600"/>
      <c r="Q197" s="600"/>
      <c r="R197" s="600"/>
      <c r="S197" s="600"/>
      <c r="T197" s="598"/>
      <c r="U197" s="598"/>
      <c r="V197" s="598"/>
      <c r="W197" s="598"/>
      <c r="X197" s="598"/>
      <c r="Y197" s="598"/>
      <c r="Z197" s="598"/>
      <c r="AA197" s="598"/>
      <c r="AB197" s="598"/>
      <c r="AC197" s="598"/>
      <c r="AD197" s="598"/>
      <c r="AE197" s="598"/>
      <c r="AF197" s="598"/>
      <c r="AG197" s="598"/>
      <c r="AH197" s="598"/>
      <c r="AI197" s="598"/>
      <c r="AJ197" s="598"/>
      <c r="AK197" s="598"/>
      <c r="AL197" s="598"/>
      <c r="AM197" s="598"/>
      <c r="AN197" s="598"/>
      <c r="AO197" s="598"/>
      <c r="AP197" s="598"/>
      <c r="AQ197" s="598"/>
      <c r="AR197" s="598"/>
      <c r="AS197" s="598"/>
      <c r="AT197" s="598"/>
      <c r="AU197" s="598"/>
      <c r="AV197" s="598"/>
      <c r="AW197" s="598"/>
      <c r="AX197" s="598"/>
      <c r="AY197" s="598"/>
      <c r="AZ197" s="598"/>
      <c r="BA197" s="598"/>
      <c r="BB197" s="598"/>
      <c r="BC197" s="598"/>
      <c r="BD197" s="598"/>
      <c r="BE197" s="598"/>
      <c r="BF197" s="598"/>
      <c r="BG197" s="598"/>
      <c r="BH197" s="598"/>
      <c r="BI197" s="598"/>
      <c r="BJ197" s="598"/>
      <c r="BK197" s="598"/>
      <c r="BL197" s="598"/>
      <c r="BM197" s="598"/>
      <c r="BN197" s="598"/>
      <c r="BO197" s="598"/>
      <c r="BP197" s="598"/>
      <c r="BQ197" s="598"/>
      <c r="BR197" s="598"/>
      <c r="BS197" s="598"/>
      <c r="BT197" s="598"/>
      <c r="BU197" s="598"/>
      <c r="BV197" s="598"/>
      <c r="BW197" s="598"/>
      <c r="BX197" s="598"/>
      <c r="BY197" s="598"/>
      <c r="BZ197" s="598"/>
      <c r="CA197" s="598"/>
      <c r="CB197" s="598"/>
      <c r="CC197" s="598"/>
      <c r="CD197" s="598"/>
      <c r="CE197" s="598"/>
      <c r="CF197" s="598"/>
      <c r="CG197" s="598"/>
      <c r="CH197" s="598"/>
      <c r="CI197" s="598"/>
      <c r="CJ197" s="598"/>
      <c r="CK197" s="598"/>
      <c r="CL197" s="598"/>
      <c r="CM197" s="598"/>
      <c r="CN197" s="598"/>
      <c r="CO197" s="598"/>
      <c r="CP197" s="598"/>
      <c r="CQ197" s="598"/>
      <c r="CR197" s="598"/>
      <c r="CS197" s="598"/>
      <c r="CT197" s="598"/>
    </row>
    <row r="200" spans="1:98">
      <c r="A200" s="556" t="s">
        <v>2</v>
      </c>
      <c r="M200" s="1088"/>
      <c r="N200" s="1088"/>
      <c r="O200" s="1088"/>
      <c r="P200" s="1088"/>
      <c r="Q200" s="1088"/>
      <c r="R200" s="1088"/>
      <c r="S200" s="1088"/>
      <c r="T200" s="1088"/>
    </row>
    <row r="201" spans="1:98">
      <c r="A201" s="1089" t="s">
        <v>947</v>
      </c>
      <c r="B201" s="1089"/>
      <c r="C201" s="1089"/>
      <c r="D201" s="1089"/>
      <c r="E201" s="1089"/>
      <c r="F201" s="1089"/>
      <c r="G201" s="1089"/>
      <c r="H201" s="1089"/>
      <c r="M201" s="1088"/>
      <c r="N201" s="1088"/>
      <c r="O201" s="1088"/>
      <c r="P201" s="1088"/>
      <c r="Q201" s="1088"/>
      <c r="R201" s="1088"/>
      <c r="S201" s="1088"/>
      <c r="T201" s="1088"/>
    </row>
    <row r="202" spans="1:98">
      <c r="A202" s="1089" t="s">
        <v>948</v>
      </c>
      <c r="B202" s="1089"/>
      <c r="C202" s="1089"/>
      <c r="D202" s="1089"/>
      <c r="E202" s="1089"/>
      <c r="F202" s="1089"/>
      <c r="G202" s="1089"/>
      <c r="H202" s="1089"/>
      <c r="M202" s="1088"/>
      <c r="N202" s="1088"/>
      <c r="O202" s="1088"/>
      <c r="P202" s="1088"/>
      <c r="Q202" s="1088"/>
      <c r="R202" s="1088"/>
      <c r="S202" s="1088"/>
      <c r="T202" s="1088"/>
    </row>
    <row r="203" spans="1:98">
      <c r="A203" s="1089" t="s">
        <v>949</v>
      </c>
      <c r="B203" s="1089"/>
      <c r="C203" s="1089"/>
      <c r="D203" s="1089"/>
      <c r="E203" s="1089"/>
      <c r="F203" s="1089"/>
      <c r="G203" s="1089"/>
      <c r="H203" s="1089"/>
      <c r="M203" s="1088"/>
      <c r="N203" s="1088"/>
      <c r="O203" s="1088"/>
      <c r="P203" s="1088"/>
      <c r="Q203" s="1088"/>
      <c r="R203" s="1088"/>
      <c r="S203" s="1088"/>
      <c r="T203" s="1088"/>
    </row>
    <row r="204" spans="1:98">
      <c r="A204" s="1089" t="s">
        <v>950</v>
      </c>
      <c r="B204" s="1089"/>
      <c r="C204" s="1089"/>
      <c r="D204" s="1089"/>
      <c r="E204" s="1089"/>
      <c r="F204" s="1089"/>
      <c r="G204" s="1089"/>
      <c r="H204" s="1089"/>
    </row>
    <row r="207" spans="1:98">
      <c r="A207" s="606"/>
      <c r="M207" s="559"/>
    </row>
    <row r="210" spans="4:4">
      <c r="D210" s="576"/>
    </row>
    <row r="214" spans="4:4" ht="7.5" customHeight="1"/>
  </sheetData>
  <mergeCells count="19">
    <mergeCell ref="A166:H166"/>
    <mergeCell ref="M200:T200"/>
    <mergeCell ref="A204:H204"/>
    <mergeCell ref="A201:H201"/>
    <mergeCell ref="M201:T201"/>
    <mergeCell ref="A202:H202"/>
    <mergeCell ref="M202:T202"/>
    <mergeCell ref="A203:H203"/>
    <mergeCell ref="M203:T203"/>
    <mergeCell ref="N77:S77"/>
    <mergeCell ref="A84:H84"/>
    <mergeCell ref="M108:T108"/>
    <mergeCell ref="M110:T110"/>
    <mergeCell ref="A125:H125"/>
    <mergeCell ref="A2:H2"/>
    <mergeCell ref="M2:T2"/>
    <mergeCell ref="A43:H43"/>
    <mergeCell ref="M55:T55"/>
    <mergeCell ref="M57:T57"/>
  </mergeCells>
  <printOptions horizontalCentered="1"/>
  <pageMargins left="0.25" right="0.25" top="0.7" bottom="0.75" header="0.25" footer="0.4"/>
  <pageSetup fitToHeight="5" orientation="landscape" r:id="rId1"/>
  <headerFooter alignWithMargins="0"/>
  <rowBreaks count="4" manualBreakCount="4">
    <brk id="41" max="7" man="1"/>
    <brk id="82" max="7" man="1"/>
    <brk id="123" max="7" man="1"/>
    <brk id="164" max="7" man="1"/>
  </rowBreaks>
  <drawing r:id="rId2"/>
</worksheet>
</file>

<file path=xl/worksheets/sheet28.xml><?xml version="1.0" encoding="utf-8"?>
<worksheet xmlns="http://schemas.openxmlformats.org/spreadsheetml/2006/main" xmlns:r="http://schemas.openxmlformats.org/officeDocument/2006/relationships">
  <sheetPr codeName="Sheet29"/>
  <dimension ref="A1:M217"/>
  <sheetViews>
    <sheetView zoomScaleNormal="100" workbookViewId="0">
      <selection activeCell="C19" sqref="C19"/>
    </sheetView>
  </sheetViews>
  <sheetFormatPr defaultColWidth="8.7109375" defaultRowHeight="12"/>
  <cols>
    <col min="1" max="1" width="16.7109375" style="556" customWidth="1"/>
    <col min="2" max="2" width="16.85546875" style="556" bestFit="1" customWidth="1"/>
    <col min="3" max="3" width="14.28515625" style="556" bestFit="1" customWidth="1"/>
    <col min="4" max="4" width="14.5703125" style="556" bestFit="1" customWidth="1"/>
    <col min="5" max="5" width="15.28515625" style="556" bestFit="1" customWidth="1"/>
    <col min="6" max="6" width="16.85546875" style="556" customWidth="1"/>
    <col min="7" max="7" width="12.5703125" style="556" bestFit="1" customWidth="1"/>
    <col min="8" max="8" width="13.28515625" style="556" bestFit="1" customWidth="1"/>
    <col min="9" max="9" width="8.7109375" style="556" customWidth="1"/>
    <col min="10" max="10" width="8.7109375" style="619" customWidth="1"/>
    <col min="11" max="16384" width="8.7109375" style="556"/>
  </cols>
  <sheetData>
    <row r="1" spans="1:13" s="606" customFormat="1" ht="15">
      <c r="A1" s="555" t="s">
        <v>965</v>
      </c>
      <c r="J1" s="615"/>
    </row>
    <row r="2" spans="1:13" s="616" customFormat="1" ht="12.75">
      <c r="A2" s="1082" t="s">
        <v>1069</v>
      </c>
      <c r="B2" s="1083"/>
      <c r="C2" s="1083"/>
      <c r="D2" s="1083"/>
      <c r="E2" s="1083"/>
      <c r="F2" s="1083"/>
      <c r="G2" s="1083"/>
      <c r="H2" s="1083"/>
      <c r="J2" s="617"/>
    </row>
    <row r="3" spans="1:13" s="606" customFormat="1" ht="12.75" thickBot="1">
      <c r="A3" s="562"/>
      <c r="B3" s="562"/>
      <c r="C3" s="562"/>
      <c r="D3" s="562"/>
      <c r="E3" s="562"/>
      <c r="F3" s="562"/>
      <c r="G3" s="562"/>
      <c r="H3" s="562"/>
      <c r="J3" s="615"/>
    </row>
    <row r="4" spans="1:13" ht="14.25" customHeight="1">
      <c r="A4" s="618"/>
      <c r="B4" s="618"/>
      <c r="C4" s="618"/>
      <c r="D4" s="618"/>
      <c r="E4" s="618"/>
      <c r="F4" s="618" t="s">
        <v>937</v>
      </c>
      <c r="G4" s="618"/>
      <c r="H4" s="618" t="s">
        <v>951</v>
      </c>
    </row>
    <row r="5" spans="1:13" ht="12.75" customHeight="1">
      <c r="A5" s="566"/>
      <c r="B5" s="566" t="s">
        <v>952</v>
      </c>
      <c r="C5" s="1090" t="s">
        <v>953</v>
      </c>
      <c r="D5" s="1090"/>
      <c r="E5" s="1090"/>
      <c r="F5" s="566" t="s">
        <v>954</v>
      </c>
      <c r="G5" s="566" t="s">
        <v>955</v>
      </c>
      <c r="H5" s="566" t="s">
        <v>956</v>
      </c>
    </row>
    <row r="6" spans="1:13">
      <c r="A6" s="563" t="s">
        <v>33</v>
      </c>
      <c r="B6" s="563" t="s">
        <v>957</v>
      </c>
      <c r="C6" s="563" t="s">
        <v>958</v>
      </c>
      <c r="D6" s="563" t="s">
        <v>959</v>
      </c>
      <c r="E6" s="563" t="s">
        <v>960</v>
      </c>
      <c r="F6" s="563" t="s">
        <v>961</v>
      </c>
      <c r="G6" s="563" t="s">
        <v>937</v>
      </c>
      <c r="H6" s="563" t="s">
        <v>505</v>
      </c>
    </row>
    <row r="7" spans="1:13" ht="9" customHeight="1">
      <c r="A7" s="566"/>
      <c r="B7" s="566"/>
      <c r="C7" s="566"/>
      <c r="D7" s="566"/>
      <c r="E7" s="566"/>
      <c r="F7" s="566"/>
      <c r="G7" s="566"/>
      <c r="H7" s="566"/>
    </row>
    <row r="8" spans="1:13" ht="11.25" customHeight="1">
      <c r="A8" s="556" t="s">
        <v>99</v>
      </c>
      <c r="B8" s="620">
        <v>4393156900</v>
      </c>
      <c r="C8" s="588">
        <v>505648200</v>
      </c>
      <c r="D8" s="588">
        <v>197112900</v>
      </c>
      <c r="E8" s="620">
        <v>702761100</v>
      </c>
      <c r="F8" s="620">
        <v>5095918000</v>
      </c>
      <c r="G8" s="621">
        <v>0.13790667353752553</v>
      </c>
      <c r="H8" s="588">
        <v>3102777.46</v>
      </c>
      <c r="I8" s="619"/>
      <c r="K8" s="619"/>
      <c r="L8" s="619"/>
      <c r="M8" s="619"/>
    </row>
    <row r="9" spans="1:13" ht="11.25" customHeight="1">
      <c r="A9" s="556" t="s">
        <v>101</v>
      </c>
      <c r="B9" s="585">
        <v>17459065600</v>
      </c>
      <c r="C9" s="576">
        <v>2754366900</v>
      </c>
      <c r="D9" s="576">
        <v>729024300</v>
      </c>
      <c r="E9" s="585">
        <v>3483391200</v>
      </c>
      <c r="F9" s="585">
        <v>20942456800</v>
      </c>
      <c r="G9" s="621">
        <v>0.16633154520820118</v>
      </c>
      <c r="H9" s="576">
        <v>25846762.703999996</v>
      </c>
      <c r="I9" s="619"/>
      <c r="K9" s="619"/>
      <c r="L9" s="619"/>
      <c r="M9" s="619"/>
    </row>
    <row r="10" spans="1:13" ht="11.25" customHeight="1">
      <c r="A10" s="556" t="s">
        <v>103</v>
      </c>
      <c r="B10" s="585">
        <v>1080197200</v>
      </c>
      <c r="C10" s="576">
        <v>228062400</v>
      </c>
      <c r="D10" s="576">
        <v>116863500</v>
      </c>
      <c r="E10" s="585">
        <v>344925900</v>
      </c>
      <c r="F10" s="585">
        <v>1425123100</v>
      </c>
      <c r="G10" s="621">
        <v>0.24203235495937159</v>
      </c>
      <c r="H10" s="576">
        <v>2207525.7600000002</v>
      </c>
      <c r="I10" s="619"/>
      <c r="K10" s="619"/>
      <c r="L10" s="619"/>
      <c r="M10" s="619"/>
    </row>
    <row r="11" spans="1:13" ht="11.25" customHeight="1">
      <c r="A11" s="556" t="s">
        <v>105</v>
      </c>
      <c r="B11" s="585">
        <v>1152568300</v>
      </c>
      <c r="C11" s="576">
        <v>21727900</v>
      </c>
      <c r="D11" s="576">
        <v>55209500</v>
      </c>
      <c r="E11" s="585">
        <v>76937400</v>
      </c>
      <c r="F11" s="585">
        <v>1229505700</v>
      </c>
      <c r="G11" s="621">
        <v>6.2575879070751766E-2</v>
      </c>
      <c r="H11" s="576">
        <v>330830.82</v>
      </c>
      <c r="I11" s="619"/>
      <c r="K11" s="619"/>
      <c r="L11" s="619"/>
      <c r="M11" s="619"/>
    </row>
    <row r="12" spans="1:13" ht="11.25" customHeight="1">
      <c r="A12" s="556" t="s">
        <v>107</v>
      </c>
      <c r="B12" s="585">
        <v>2656831700</v>
      </c>
      <c r="C12" s="576">
        <v>157686500</v>
      </c>
      <c r="D12" s="576">
        <v>336245700</v>
      </c>
      <c r="E12" s="585">
        <v>493932200</v>
      </c>
      <c r="F12" s="585">
        <v>3150763900</v>
      </c>
      <c r="G12" s="621">
        <v>0.15676585605160703</v>
      </c>
      <c r="H12" s="576">
        <v>2568447.4400000004</v>
      </c>
      <c r="I12" s="619"/>
      <c r="K12" s="619"/>
      <c r="L12" s="619"/>
      <c r="M12" s="619"/>
    </row>
    <row r="13" spans="1:13" ht="9" customHeight="1">
      <c r="B13" s="585"/>
      <c r="C13" s="576"/>
      <c r="D13" s="576"/>
      <c r="E13" s="585"/>
      <c r="F13" s="585"/>
      <c r="G13" s="621"/>
      <c r="H13" s="576"/>
    </row>
    <row r="14" spans="1:13" ht="11.25" customHeight="1">
      <c r="A14" s="556" t="s">
        <v>109</v>
      </c>
      <c r="B14" s="585">
        <v>1341183100</v>
      </c>
      <c r="C14" s="576">
        <v>87167000</v>
      </c>
      <c r="D14" s="576">
        <v>76132700</v>
      </c>
      <c r="E14" s="585">
        <v>163299700</v>
      </c>
      <c r="F14" s="585">
        <v>1504482800</v>
      </c>
      <c r="G14" s="621">
        <v>0.1085420850274925</v>
      </c>
      <c r="H14" s="576">
        <v>808335.18</v>
      </c>
      <c r="I14" s="619"/>
      <c r="K14" s="619"/>
      <c r="L14" s="619"/>
      <c r="M14" s="619"/>
    </row>
    <row r="15" spans="1:13" ht="11.25" customHeight="1">
      <c r="A15" s="556" t="s">
        <v>111</v>
      </c>
      <c r="B15" s="585">
        <v>57459163400</v>
      </c>
      <c r="C15" s="576">
        <v>6201779600</v>
      </c>
      <c r="D15" s="576">
        <v>954122400</v>
      </c>
      <c r="E15" s="585">
        <v>7155902000</v>
      </c>
      <c r="F15" s="585">
        <v>64615065400</v>
      </c>
      <c r="G15" s="621">
        <v>0.11074664949576914</v>
      </c>
      <c r="H15" s="576">
        <v>77257665</v>
      </c>
      <c r="I15" s="619"/>
      <c r="K15" s="619"/>
      <c r="L15" s="619"/>
      <c r="M15" s="619"/>
    </row>
    <row r="16" spans="1:13" ht="11.25" customHeight="1">
      <c r="A16" s="556" t="s">
        <v>113</v>
      </c>
      <c r="B16" s="585">
        <v>8002002300</v>
      </c>
      <c r="C16" s="576">
        <v>493872700</v>
      </c>
      <c r="D16" s="576">
        <v>590421900</v>
      </c>
      <c r="E16" s="585">
        <v>1084294600</v>
      </c>
      <c r="F16" s="585">
        <v>9086296900</v>
      </c>
      <c r="G16" s="621">
        <v>0.11933294849742364</v>
      </c>
      <c r="H16" s="576">
        <v>5204614.08</v>
      </c>
      <c r="I16" s="619"/>
      <c r="K16" s="619"/>
      <c r="L16" s="619"/>
      <c r="M16" s="619"/>
    </row>
    <row r="17" spans="1:13" ht="11.25" customHeight="1">
      <c r="A17" s="556" t="s">
        <v>115</v>
      </c>
      <c r="B17" s="585">
        <v>959247900</v>
      </c>
      <c r="C17" s="576">
        <v>247419200</v>
      </c>
      <c r="D17" s="576">
        <v>42190300</v>
      </c>
      <c r="E17" s="585">
        <v>289609500</v>
      </c>
      <c r="F17" s="585">
        <v>1248857400</v>
      </c>
      <c r="G17" s="621">
        <v>0.23189957476329964</v>
      </c>
      <c r="H17" s="576">
        <v>1390125.5999999999</v>
      </c>
      <c r="I17" s="619"/>
      <c r="K17" s="619"/>
      <c r="L17" s="619"/>
      <c r="M17" s="619"/>
    </row>
    <row r="18" spans="1:13" ht="11.25" customHeight="1">
      <c r="A18" s="556" t="s">
        <v>117</v>
      </c>
      <c r="B18" s="585">
        <v>8674656140</v>
      </c>
      <c r="C18" s="576">
        <v>211482800</v>
      </c>
      <c r="D18" s="576">
        <v>285785200</v>
      </c>
      <c r="E18" s="585">
        <v>497268000</v>
      </c>
      <c r="F18" s="585">
        <v>9171924140</v>
      </c>
      <c r="G18" s="621">
        <v>5.421632281402624E-2</v>
      </c>
      <c r="H18" s="576">
        <v>2486340</v>
      </c>
      <c r="I18" s="619"/>
      <c r="K18" s="619"/>
      <c r="L18" s="619"/>
      <c r="M18" s="619"/>
    </row>
    <row r="19" spans="1:13" ht="9" customHeight="1">
      <c r="B19" s="585"/>
      <c r="C19" s="585"/>
      <c r="D19" s="585"/>
      <c r="E19" s="585"/>
      <c r="F19" s="585"/>
      <c r="G19" s="621"/>
      <c r="H19" s="585"/>
    </row>
    <row r="20" spans="1:13" ht="11.25" customHeight="1">
      <c r="A20" s="556" t="s">
        <v>119</v>
      </c>
      <c r="B20" s="585">
        <v>656284200</v>
      </c>
      <c r="C20" s="576">
        <v>101692600</v>
      </c>
      <c r="D20" s="576">
        <v>29213800</v>
      </c>
      <c r="E20" s="585">
        <v>130906400</v>
      </c>
      <c r="F20" s="585">
        <v>787190600</v>
      </c>
      <c r="G20" s="621">
        <v>0.16629568493322963</v>
      </c>
      <c r="H20" s="576">
        <v>719985.20000000007</v>
      </c>
      <c r="I20" s="619"/>
      <c r="K20" s="619"/>
      <c r="L20" s="619"/>
      <c r="M20" s="619"/>
    </row>
    <row r="21" spans="1:13" ht="11.25" customHeight="1">
      <c r="A21" s="556" t="s">
        <v>121</v>
      </c>
      <c r="B21" s="585">
        <v>3566378562</v>
      </c>
      <c r="C21" s="576">
        <v>199996900</v>
      </c>
      <c r="D21" s="576">
        <v>167056700</v>
      </c>
      <c r="E21" s="585">
        <v>367053600</v>
      </c>
      <c r="F21" s="585">
        <v>3933432162</v>
      </c>
      <c r="G21" s="621">
        <v>9.331636720369095E-2</v>
      </c>
      <c r="H21" s="576">
        <v>2385848.4000000004</v>
      </c>
      <c r="I21" s="619"/>
      <c r="K21" s="619"/>
      <c r="L21" s="619"/>
      <c r="M21" s="619"/>
    </row>
    <row r="22" spans="1:13" ht="11.25" customHeight="1">
      <c r="A22" s="556" t="s">
        <v>123</v>
      </c>
      <c r="B22" s="585">
        <v>1270891564</v>
      </c>
      <c r="C22" s="576">
        <v>219322900</v>
      </c>
      <c r="D22" s="576">
        <v>64264200</v>
      </c>
      <c r="E22" s="585">
        <v>283587100</v>
      </c>
      <c r="F22" s="585">
        <v>1554478664</v>
      </c>
      <c r="G22" s="621">
        <v>0.1824322884369933</v>
      </c>
      <c r="H22" s="576">
        <v>1105989.69</v>
      </c>
      <c r="I22" s="619"/>
      <c r="K22" s="619"/>
      <c r="L22" s="619"/>
      <c r="M22" s="619"/>
    </row>
    <row r="23" spans="1:13" ht="11.25" customHeight="1">
      <c r="A23" s="556" t="s">
        <v>125</v>
      </c>
      <c r="B23" s="585">
        <v>2054634044</v>
      </c>
      <c r="C23" s="576">
        <v>242396249</v>
      </c>
      <c r="D23" s="576">
        <v>53626202</v>
      </c>
      <c r="E23" s="585">
        <v>296022451</v>
      </c>
      <c r="F23" s="585">
        <v>2350656495</v>
      </c>
      <c r="G23" s="621">
        <v>0.1259318201658384</v>
      </c>
      <c r="H23" s="576">
        <v>1272896.5393000001</v>
      </c>
      <c r="I23" s="619"/>
      <c r="K23" s="619"/>
      <c r="L23" s="619"/>
      <c r="M23" s="619"/>
    </row>
    <row r="24" spans="1:13" ht="11.25" customHeight="1">
      <c r="A24" s="556" t="s">
        <v>127</v>
      </c>
      <c r="B24" s="585">
        <v>1448459306</v>
      </c>
      <c r="C24" s="576">
        <v>142735000</v>
      </c>
      <c r="D24" s="576">
        <v>79958100</v>
      </c>
      <c r="E24" s="585">
        <v>222693100</v>
      </c>
      <c r="F24" s="585">
        <v>1671152406</v>
      </c>
      <c r="G24" s="621">
        <v>0.13325720574643987</v>
      </c>
      <c r="H24" s="576">
        <v>979849.64</v>
      </c>
      <c r="I24" s="619"/>
      <c r="K24" s="619"/>
      <c r="L24" s="619"/>
      <c r="M24" s="619"/>
    </row>
    <row r="25" spans="1:13" ht="9" customHeight="1">
      <c r="B25" s="585"/>
      <c r="C25" s="576"/>
      <c r="D25" s="576"/>
      <c r="E25" s="585"/>
      <c r="F25" s="585"/>
      <c r="G25" s="621"/>
      <c r="H25" s="576"/>
    </row>
    <row r="26" spans="1:13" ht="11.25" customHeight="1">
      <c r="A26" s="556" t="s">
        <v>129</v>
      </c>
      <c r="B26" s="585">
        <v>3807030525</v>
      </c>
      <c r="C26" s="576">
        <v>95578149</v>
      </c>
      <c r="D26" s="576">
        <v>228907000</v>
      </c>
      <c r="E26" s="585">
        <v>324485149</v>
      </c>
      <c r="F26" s="585">
        <v>4131515674</v>
      </c>
      <c r="G26" s="621">
        <v>7.8539009555745914E-2</v>
      </c>
      <c r="H26" s="576">
        <v>1492631.6853999998</v>
      </c>
      <c r="I26" s="619"/>
      <c r="K26" s="619"/>
      <c r="L26" s="619"/>
      <c r="M26" s="619"/>
    </row>
    <row r="27" spans="1:13" ht="11.25" customHeight="1">
      <c r="A27" s="556" t="s">
        <v>131</v>
      </c>
      <c r="B27" s="585">
        <v>2654576474</v>
      </c>
      <c r="C27" s="576">
        <v>433734400</v>
      </c>
      <c r="D27" s="576">
        <v>177759400</v>
      </c>
      <c r="E27" s="585">
        <v>611493800</v>
      </c>
      <c r="F27" s="585">
        <v>3266070274</v>
      </c>
      <c r="G27" s="621">
        <v>0.18722616131927111</v>
      </c>
      <c r="H27" s="576">
        <v>4158157.8400000008</v>
      </c>
      <c r="I27" s="619"/>
      <c r="K27" s="619"/>
      <c r="L27" s="619"/>
      <c r="M27" s="619"/>
    </row>
    <row r="28" spans="1:13" ht="11.25" customHeight="1">
      <c r="A28" s="556" t="s">
        <v>133</v>
      </c>
      <c r="B28" s="585">
        <v>2639530900</v>
      </c>
      <c r="C28" s="576">
        <v>157491300</v>
      </c>
      <c r="D28" s="576">
        <v>64021200</v>
      </c>
      <c r="E28" s="585">
        <v>221512500</v>
      </c>
      <c r="F28" s="585">
        <v>2861043400</v>
      </c>
      <c r="G28" s="621">
        <v>7.7423676970436728E-2</v>
      </c>
      <c r="H28" s="576">
        <v>1317999.375</v>
      </c>
      <c r="I28" s="619"/>
      <c r="K28" s="619"/>
      <c r="L28" s="619"/>
      <c r="M28" s="619"/>
    </row>
    <row r="29" spans="1:13" ht="11.25" customHeight="1">
      <c r="A29" s="556" t="s">
        <v>135</v>
      </c>
      <c r="B29" s="585">
        <v>774605053</v>
      </c>
      <c r="C29" s="576">
        <v>56484200</v>
      </c>
      <c r="D29" s="576">
        <v>14340600</v>
      </c>
      <c r="E29" s="585">
        <v>70824800</v>
      </c>
      <c r="F29" s="585">
        <v>845429853</v>
      </c>
      <c r="G29" s="621">
        <v>8.3773715523149384E-2</v>
      </c>
      <c r="H29" s="576">
        <v>481608.64000000007</v>
      </c>
      <c r="I29" s="619"/>
      <c r="K29" s="619"/>
      <c r="L29" s="619"/>
      <c r="M29" s="619"/>
    </row>
    <row r="30" spans="1:13" ht="11.25" customHeight="1">
      <c r="A30" s="556" t="s">
        <v>137</v>
      </c>
      <c r="B30" s="585">
        <v>974519150</v>
      </c>
      <c r="C30" s="576">
        <v>9305000</v>
      </c>
      <c r="D30" s="576">
        <v>58110000</v>
      </c>
      <c r="E30" s="585">
        <v>67415000</v>
      </c>
      <c r="F30" s="585">
        <v>1041934150</v>
      </c>
      <c r="G30" s="621">
        <v>6.4701785616682203E-2</v>
      </c>
      <c r="H30" s="576">
        <v>283143</v>
      </c>
      <c r="I30" s="619"/>
      <c r="K30" s="619"/>
      <c r="L30" s="619"/>
      <c r="M30" s="619"/>
    </row>
    <row r="31" spans="1:13" ht="9" customHeight="1">
      <c r="B31" s="585"/>
      <c r="C31" s="576"/>
      <c r="D31" s="576"/>
      <c r="E31" s="585"/>
      <c r="F31" s="585"/>
      <c r="G31" s="621"/>
      <c r="H31" s="576"/>
    </row>
    <row r="32" spans="1:13" ht="11.25" customHeight="1">
      <c r="A32" s="567" t="s">
        <v>139</v>
      </c>
      <c r="B32" s="622">
        <v>30733361200</v>
      </c>
      <c r="C32" s="581">
        <v>1475531300</v>
      </c>
      <c r="D32" s="581">
        <v>410021000</v>
      </c>
      <c r="E32" s="622">
        <v>1885552300</v>
      </c>
      <c r="F32" s="622">
        <v>32618913500</v>
      </c>
      <c r="G32" s="623">
        <v>5.7805490670313098E-2</v>
      </c>
      <c r="H32" s="581">
        <v>17912746.850000001</v>
      </c>
      <c r="I32" s="619"/>
      <c r="K32" s="619"/>
      <c r="L32" s="619"/>
      <c r="M32" s="619"/>
    </row>
    <row r="33" spans="1:13" ht="11.25" customHeight="1">
      <c r="A33" s="556" t="s">
        <v>141</v>
      </c>
      <c r="B33" s="585">
        <v>2595452300</v>
      </c>
      <c r="C33" s="576">
        <v>68630700</v>
      </c>
      <c r="D33" s="576">
        <v>111648000</v>
      </c>
      <c r="E33" s="585">
        <v>180278700</v>
      </c>
      <c r="F33" s="585">
        <v>2775731000</v>
      </c>
      <c r="G33" s="621">
        <v>6.4948188423157721E-2</v>
      </c>
      <c r="H33" s="576">
        <v>1117727.94</v>
      </c>
      <c r="I33" s="619"/>
      <c r="K33" s="619"/>
      <c r="L33" s="619"/>
      <c r="M33" s="619"/>
    </row>
    <row r="34" spans="1:13" ht="11.25" customHeight="1">
      <c r="A34" s="556" t="s">
        <v>143</v>
      </c>
      <c r="B34" s="585">
        <v>432191800</v>
      </c>
      <c r="C34" s="576">
        <v>92651200</v>
      </c>
      <c r="D34" s="576">
        <v>25493000</v>
      </c>
      <c r="E34" s="585">
        <v>118144200</v>
      </c>
      <c r="F34" s="585">
        <v>550336000</v>
      </c>
      <c r="G34" s="621">
        <v>0.21467648854517968</v>
      </c>
      <c r="H34" s="576">
        <v>661607.52</v>
      </c>
      <c r="I34" s="619"/>
      <c r="K34" s="619"/>
      <c r="L34" s="619"/>
      <c r="M34" s="619"/>
    </row>
    <row r="35" spans="1:13" ht="11.25" customHeight="1">
      <c r="A35" s="556" t="s">
        <v>145</v>
      </c>
      <c r="B35" s="585">
        <v>4677465116</v>
      </c>
      <c r="C35" s="576">
        <v>216057400</v>
      </c>
      <c r="D35" s="576">
        <v>275764900</v>
      </c>
      <c r="E35" s="585">
        <v>491822300</v>
      </c>
      <c r="F35" s="585">
        <v>5169287416</v>
      </c>
      <c r="G35" s="621">
        <v>9.5143152318772128E-2</v>
      </c>
      <c r="H35" s="576">
        <v>3639485.02</v>
      </c>
      <c r="I35" s="619"/>
      <c r="K35" s="619"/>
      <c r="L35" s="619"/>
      <c r="M35" s="619"/>
    </row>
    <row r="36" spans="1:13" ht="11.25" customHeight="1">
      <c r="A36" s="556" t="s">
        <v>147</v>
      </c>
      <c r="B36" s="585">
        <v>939447008</v>
      </c>
      <c r="C36" s="576">
        <v>44574090</v>
      </c>
      <c r="D36" s="576">
        <v>74409240</v>
      </c>
      <c r="E36" s="585">
        <v>118983330</v>
      </c>
      <c r="F36" s="585">
        <v>1058430338</v>
      </c>
      <c r="G36" s="621">
        <v>0.11241488998211237</v>
      </c>
      <c r="H36" s="576">
        <v>809086.64400000009</v>
      </c>
      <c r="I36" s="619"/>
      <c r="K36" s="619"/>
      <c r="L36" s="619"/>
      <c r="M36" s="619"/>
    </row>
    <row r="37" spans="1:13" ht="9" customHeight="1">
      <c r="B37" s="585"/>
      <c r="C37" s="576"/>
      <c r="D37" s="576"/>
      <c r="E37" s="585"/>
      <c r="F37" s="585"/>
      <c r="G37" s="621"/>
      <c r="H37" s="576"/>
    </row>
    <row r="38" spans="1:13" ht="11.25" customHeight="1">
      <c r="A38" s="556" t="s">
        <v>149</v>
      </c>
      <c r="B38" s="585">
        <v>1333290969</v>
      </c>
      <c r="C38" s="576">
        <v>94625400</v>
      </c>
      <c r="D38" s="576">
        <v>51029300</v>
      </c>
      <c r="E38" s="585">
        <v>145654700</v>
      </c>
      <c r="F38" s="585">
        <v>1478945669</v>
      </c>
      <c r="G38" s="621">
        <v>9.8485497508833772E-2</v>
      </c>
      <c r="H38" s="576">
        <v>873928.2</v>
      </c>
      <c r="I38" s="619"/>
      <c r="K38" s="619"/>
      <c r="L38" s="619"/>
      <c r="M38" s="619"/>
    </row>
    <row r="39" spans="1:13" ht="11.25" customHeight="1">
      <c r="A39" s="556" t="s">
        <v>612</v>
      </c>
      <c r="B39" s="585">
        <v>2694461693</v>
      </c>
      <c r="C39" s="576">
        <v>224900000</v>
      </c>
      <c r="D39" s="576">
        <v>189955600</v>
      </c>
      <c r="E39" s="585">
        <v>414855600</v>
      </c>
      <c r="F39" s="585">
        <v>3109317293</v>
      </c>
      <c r="G39" s="621">
        <v>0.13342337269147914</v>
      </c>
      <c r="H39" s="576">
        <v>2986960.3200000003</v>
      </c>
      <c r="I39" s="619"/>
      <c r="K39" s="619"/>
      <c r="L39" s="619"/>
      <c r="M39" s="619"/>
    </row>
    <row r="40" spans="1:13" ht="11.25" customHeight="1">
      <c r="A40" s="556" t="s">
        <v>153</v>
      </c>
      <c r="B40" s="585">
        <v>1674952874</v>
      </c>
      <c r="C40" s="576">
        <v>26150800</v>
      </c>
      <c r="D40" s="576">
        <v>67061010</v>
      </c>
      <c r="E40" s="585">
        <v>93211810</v>
      </c>
      <c r="F40" s="585">
        <v>1768164684</v>
      </c>
      <c r="G40" s="621">
        <v>5.2716701585246682E-2</v>
      </c>
      <c r="H40" s="576">
        <v>563931.45049999992</v>
      </c>
      <c r="I40" s="619"/>
      <c r="K40" s="619"/>
      <c r="L40" s="619"/>
      <c r="M40" s="619"/>
    </row>
    <row r="41" spans="1:13" ht="11.25" customHeight="1">
      <c r="A41" s="556" t="s">
        <v>155</v>
      </c>
      <c r="B41" s="585">
        <v>194071002590</v>
      </c>
      <c r="C41" s="576">
        <v>12282248479</v>
      </c>
      <c r="D41" s="576">
        <v>2406819571</v>
      </c>
      <c r="E41" s="585">
        <v>14689068050</v>
      </c>
      <c r="F41" s="585">
        <v>208760070640</v>
      </c>
      <c r="G41" s="621">
        <v>7.0363398541528677E-2</v>
      </c>
      <c r="H41" s="576">
        <v>160000310</v>
      </c>
      <c r="I41" s="619"/>
      <c r="K41" s="619"/>
      <c r="L41" s="619"/>
      <c r="M41" s="619"/>
    </row>
    <row r="42" spans="1:13" ht="11.25" customHeight="1">
      <c r="A42" s="556" t="s">
        <v>157</v>
      </c>
      <c r="B42" s="585">
        <v>11436988500</v>
      </c>
      <c r="C42" s="576">
        <v>681910200</v>
      </c>
      <c r="D42" s="576">
        <v>322001100</v>
      </c>
      <c r="E42" s="585">
        <v>1003911300</v>
      </c>
      <c r="F42" s="585">
        <v>12440899800</v>
      </c>
      <c r="G42" s="621">
        <v>8.0694428549291902E-2</v>
      </c>
      <c r="H42" s="576">
        <v>9737939.6099999994</v>
      </c>
      <c r="I42" s="619"/>
      <c r="K42" s="619"/>
      <c r="L42" s="619"/>
      <c r="M42" s="619"/>
    </row>
    <row r="43" spans="1:13" ht="15">
      <c r="A43" s="555" t="s">
        <v>966</v>
      </c>
      <c r="B43" s="606"/>
      <c r="C43" s="606"/>
      <c r="D43" s="606"/>
      <c r="E43" s="606"/>
      <c r="F43" s="606"/>
      <c r="G43" s="606"/>
      <c r="H43" s="606"/>
    </row>
    <row r="44" spans="1:13" s="624" customFormat="1" ht="12.75">
      <c r="A44" s="1082" t="s">
        <v>1069</v>
      </c>
      <c r="B44" s="1083"/>
      <c r="C44" s="1083"/>
      <c r="D44" s="1083"/>
      <c r="E44" s="1083"/>
      <c r="F44" s="1083"/>
      <c r="G44" s="1083"/>
      <c r="H44" s="1083"/>
      <c r="J44" s="625"/>
    </row>
    <row r="45" spans="1:13" ht="12.75" thickBot="1">
      <c r="A45" s="562"/>
      <c r="B45" s="562"/>
      <c r="C45" s="562"/>
      <c r="D45" s="562"/>
      <c r="E45" s="562"/>
      <c r="F45" s="562"/>
      <c r="G45" s="562"/>
      <c r="H45" s="562"/>
    </row>
    <row r="46" spans="1:13" ht="14.25" customHeight="1">
      <c r="A46" s="618"/>
      <c r="B46" s="618"/>
      <c r="C46" s="618"/>
      <c r="D46" s="618"/>
      <c r="E46" s="618"/>
      <c r="F46" s="618" t="s">
        <v>937</v>
      </c>
      <c r="G46" s="618"/>
      <c r="H46" s="618" t="s">
        <v>951</v>
      </c>
    </row>
    <row r="47" spans="1:13" ht="12.75" customHeight="1">
      <c r="A47" s="566"/>
      <c r="B47" s="566" t="s">
        <v>952</v>
      </c>
      <c r="C47" s="1090" t="s">
        <v>953</v>
      </c>
      <c r="D47" s="1090"/>
      <c r="E47" s="1090"/>
      <c r="F47" s="566" t="s">
        <v>954</v>
      </c>
      <c r="G47" s="566" t="s">
        <v>955</v>
      </c>
      <c r="H47" s="566" t="s">
        <v>956</v>
      </c>
    </row>
    <row r="48" spans="1:13">
      <c r="A48" s="563" t="s">
        <v>33</v>
      </c>
      <c r="B48" s="563" t="s">
        <v>957</v>
      </c>
      <c r="C48" s="563" t="s">
        <v>958</v>
      </c>
      <c r="D48" s="563" t="s">
        <v>959</v>
      </c>
      <c r="E48" s="563" t="s">
        <v>960</v>
      </c>
      <c r="F48" s="563" t="s">
        <v>961</v>
      </c>
      <c r="G48" s="563" t="s">
        <v>937</v>
      </c>
      <c r="H48" s="563" t="s">
        <v>505</v>
      </c>
    </row>
    <row r="49" spans="1:13" ht="9" customHeight="1"/>
    <row r="50" spans="1:13" ht="11.25" customHeight="1">
      <c r="A50" s="556" t="s">
        <v>159</v>
      </c>
      <c r="B50" s="620">
        <v>1685064100</v>
      </c>
      <c r="C50" s="588">
        <v>75654300</v>
      </c>
      <c r="D50" s="588">
        <v>26511800</v>
      </c>
      <c r="E50" s="620">
        <v>102166100</v>
      </c>
      <c r="F50" s="620">
        <v>1787230200</v>
      </c>
      <c r="G50" s="621">
        <v>5.7164488379840492E-2</v>
      </c>
      <c r="H50" s="588">
        <v>510830.5</v>
      </c>
      <c r="I50" s="619"/>
      <c r="K50" s="619"/>
      <c r="L50" s="619"/>
      <c r="M50" s="619"/>
    </row>
    <row r="51" spans="1:13" ht="11.25" customHeight="1">
      <c r="A51" s="556" t="s">
        <v>161</v>
      </c>
      <c r="B51" s="585">
        <v>3499664500</v>
      </c>
      <c r="C51" s="576">
        <v>75723000</v>
      </c>
      <c r="D51" s="576">
        <v>165001200</v>
      </c>
      <c r="E51" s="585">
        <v>240724200</v>
      </c>
      <c r="F51" s="585">
        <v>3740388700</v>
      </c>
      <c r="G51" s="621">
        <v>6.4358070593037567E-2</v>
      </c>
      <c r="H51" s="576">
        <v>1372127.94</v>
      </c>
      <c r="I51" s="619"/>
      <c r="K51" s="619"/>
      <c r="L51" s="619"/>
      <c r="M51" s="619"/>
    </row>
    <row r="52" spans="1:13" ht="11.25" customHeight="1">
      <c r="A52" s="556" t="s">
        <v>36</v>
      </c>
      <c r="B52" s="585">
        <v>8149092700</v>
      </c>
      <c r="C52" s="576">
        <v>80280300</v>
      </c>
      <c r="D52" s="576">
        <v>371595000</v>
      </c>
      <c r="E52" s="585">
        <v>451875300</v>
      </c>
      <c r="F52" s="585">
        <v>8600968000</v>
      </c>
      <c r="G52" s="621">
        <v>5.2537725986191323E-2</v>
      </c>
      <c r="H52" s="576">
        <v>2169001.44</v>
      </c>
      <c r="I52" s="619"/>
      <c r="K52" s="619"/>
      <c r="L52" s="619"/>
      <c r="M52" s="619"/>
    </row>
    <row r="53" spans="1:13" ht="11.25" customHeight="1">
      <c r="A53" s="556" t="s">
        <v>164</v>
      </c>
      <c r="B53" s="585">
        <v>8024327700</v>
      </c>
      <c r="C53" s="576">
        <v>147803500</v>
      </c>
      <c r="D53" s="576">
        <v>634088400</v>
      </c>
      <c r="E53" s="585">
        <v>781891900</v>
      </c>
      <c r="F53" s="585">
        <v>8806219600</v>
      </c>
      <c r="G53" s="621">
        <v>8.8788598912523151E-2</v>
      </c>
      <c r="H53" s="576">
        <v>4261310.8550000004</v>
      </c>
      <c r="I53" s="619"/>
      <c r="K53" s="619"/>
      <c r="L53" s="619"/>
      <c r="M53" s="619"/>
    </row>
    <row r="54" spans="1:13" s="567" customFormat="1" ht="11.25" customHeight="1">
      <c r="A54" s="567" t="s">
        <v>166</v>
      </c>
      <c r="B54" s="622">
        <v>1188056000</v>
      </c>
      <c r="C54" s="581">
        <v>68291400</v>
      </c>
      <c r="D54" s="581">
        <v>70049400</v>
      </c>
      <c r="E54" s="622">
        <v>138340800</v>
      </c>
      <c r="F54" s="622">
        <v>1326396800</v>
      </c>
      <c r="G54" s="623">
        <v>0.10429820096067784</v>
      </c>
      <c r="H54" s="581">
        <v>747040.32000000007</v>
      </c>
      <c r="I54" s="571"/>
      <c r="J54" s="571"/>
      <c r="K54" s="571"/>
      <c r="L54" s="571"/>
      <c r="M54" s="571"/>
    </row>
    <row r="55" spans="1:13" ht="9" customHeight="1">
      <c r="B55" s="585"/>
      <c r="C55" s="576"/>
      <c r="D55" s="576"/>
      <c r="E55" s="585"/>
      <c r="F55" s="585"/>
      <c r="G55" s="621"/>
      <c r="H55" s="576"/>
    </row>
    <row r="56" spans="1:13" ht="11.25" customHeight="1">
      <c r="A56" s="556" t="s">
        <v>100</v>
      </c>
      <c r="B56" s="585">
        <v>4291597200</v>
      </c>
      <c r="C56" s="576">
        <v>184364700</v>
      </c>
      <c r="D56" s="576">
        <v>124842600</v>
      </c>
      <c r="E56" s="585">
        <v>309207300</v>
      </c>
      <c r="F56" s="585">
        <v>4600804500</v>
      </c>
      <c r="G56" s="621">
        <v>6.7207224301749829E-2</v>
      </c>
      <c r="H56" s="576">
        <v>1793402.3399999999</v>
      </c>
      <c r="I56" s="619"/>
      <c r="K56" s="619"/>
      <c r="L56" s="619"/>
      <c r="M56" s="619"/>
    </row>
    <row r="57" spans="1:13" ht="11.25" customHeight="1">
      <c r="A57" s="556" t="s">
        <v>102</v>
      </c>
      <c r="B57" s="585">
        <v>4858780300</v>
      </c>
      <c r="C57" s="576">
        <v>86173900</v>
      </c>
      <c r="D57" s="576">
        <v>167626600</v>
      </c>
      <c r="E57" s="585">
        <v>253800500</v>
      </c>
      <c r="F57" s="585">
        <v>5112580800</v>
      </c>
      <c r="G57" s="621">
        <v>4.9642345016825948E-2</v>
      </c>
      <c r="H57" s="576">
        <v>1345142.6500000001</v>
      </c>
      <c r="I57" s="619"/>
      <c r="K57" s="619"/>
      <c r="L57" s="619"/>
      <c r="M57" s="619"/>
    </row>
    <row r="58" spans="1:13" ht="11.25" customHeight="1">
      <c r="A58" s="556" t="s">
        <v>104</v>
      </c>
      <c r="B58" s="585">
        <v>1658580400</v>
      </c>
      <c r="C58" s="576">
        <v>124930000</v>
      </c>
      <c r="D58" s="576">
        <v>100609300</v>
      </c>
      <c r="E58" s="585">
        <v>225539300</v>
      </c>
      <c r="F58" s="585">
        <v>1884119700</v>
      </c>
      <c r="G58" s="621">
        <v>0.11970539875996201</v>
      </c>
      <c r="H58" s="576">
        <v>1105142.57</v>
      </c>
      <c r="I58" s="619"/>
      <c r="K58" s="619"/>
      <c r="L58" s="619"/>
      <c r="M58" s="619"/>
    </row>
    <row r="59" spans="1:13" ht="11.25" customHeight="1">
      <c r="A59" s="556" t="s">
        <v>106</v>
      </c>
      <c r="B59" s="585">
        <v>2180594402</v>
      </c>
      <c r="C59" s="576">
        <v>91366700</v>
      </c>
      <c r="D59" s="576">
        <v>161078300</v>
      </c>
      <c r="E59" s="585">
        <v>252445000</v>
      </c>
      <c r="F59" s="585">
        <v>2433039402</v>
      </c>
      <c r="G59" s="621">
        <v>0.10375705374622618</v>
      </c>
      <c r="H59" s="576">
        <v>1741870.5</v>
      </c>
      <c r="I59" s="619"/>
      <c r="K59" s="619"/>
      <c r="L59" s="619"/>
      <c r="M59" s="619"/>
    </row>
    <row r="60" spans="1:13" ht="11.25" customHeight="1">
      <c r="A60" s="558" t="s">
        <v>108</v>
      </c>
      <c r="B60" s="626">
        <v>700188100</v>
      </c>
      <c r="C60" s="576">
        <v>143972400</v>
      </c>
      <c r="D60" s="576">
        <v>28363400</v>
      </c>
      <c r="E60" s="626">
        <v>172335800</v>
      </c>
      <c r="F60" s="626">
        <v>872523900</v>
      </c>
      <c r="G60" s="627">
        <v>0.1975141311315369</v>
      </c>
      <c r="H60" s="576">
        <v>809978.25999999989</v>
      </c>
      <c r="I60" s="619"/>
      <c r="K60" s="619"/>
      <c r="L60" s="619"/>
      <c r="M60" s="619"/>
    </row>
    <row r="61" spans="1:13" ht="8.25" customHeight="1"/>
    <row r="62" spans="1:13">
      <c r="A62" s="556" t="s">
        <v>523</v>
      </c>
      <c r="B62" s="585">
        <v>2645031083</v>
      </c>
      <c r="C62" s="576">
        <v>207667292</v>
      </c>
      <c r="D62" s="576">
        <v>256787513</v>
      </c>
      <c r="E62" s="585">
        <v>464454805</v>
      </c>
      <c r="F62" s="585">
        <v>3109485888</v>
      </c>
      <c r="G62" s="621">
        <v>0.1493670727988845</v>
      </c>
      <c r="H62" s="576">
        <v>2090046.6225000001</v>
      </c>
      <c r="I62" s="619"/>
      <c r="K62" s="619"/>
      <c r="L62" s="619"/>
      <c r="M62" s="619"/>
    </row>
    <row r="63" spans="1:13">
      <c r="A63" s="556" t="s">
        <v>112</v>
      </c>
      <c r="B63" s="585">
        <v>12118057300</v>
      </c>
      <c r="C63" s="576">
        <v>1032064400</v>
      </c>
      <c r="D63" s="576">
        <v>312603500</v>
      </c>
      <c r="E63" s="585">
        <v>1344667900</v>
      </c>
      <c r="F63" s="585">
        <v>13462725200</v>
      </c>
      <c r="G63" s="621">
        <v>9.9880810164646311E-2</v>
      </c>
      <c r="H63" s="576">
        <v>10891809.99</v>
      </c>
      <c r="I63" s="619"/>
      <c r="K63" s="619"/>
      <c r="L63" s="619"/>
      <c r="M63" s="619"/>
    </row>
    <row r="64" spans="1:13">
      <c r="A64" s="556" t="s">
        <v>114</v>
      </c>
      <c r="B64" s="585">
        <v>30865022700</v>
      </c>
      <c r="C64" s="576">
        <v>1983340400</v>
      </c>
      <c r="D64" s="576">
        <v>1291242600</v>
      </c>
      <c r="E64" s="585">
        <v>3274583000</v>
      </c>
      <c r="F64" s="585">
        <v>34139605700</v>
      </c>
      <c r="G64" s="621">
        <v>9.5917422971291078E-2</v>
      </c>
      <c r="H64" s="576">
        <v>28488872.100000001</v>
      </c>
      <c r="I64" s="619"/>
      <c r="K64" s="619"/>
      <c r="L64" s="619"/>
      <c r="M64" s="619"/>
    </row>
    <row r="65" spans="1:13">
      <c r="A65" s="556" t="s">
        <v>116</v>
      </c>
      <c r="B65" s="585">
        <v>3015290200</v>
      </c>
      <c r="C65" s="576">
        <v>199109300</v>
      </c>
      <c r="D65" s="576">
        <v>341175400</v>
      </c>
      <c r="E65" s="585">
        <v>540284700</v>
      </c>
      <c r="F65" s="585">
        <v>3555574900</v>
      </c>
      <c r="G65" s="621">
        <v>0.15195424514893499</v>
      </c>
      <c r="H65" s="576">
        <v>2485309.62</v>
      </c>
      <c r="I65" s="619"/>
      <c r="K65" s="619"/>
      <c r="L65" s="619"/>
      <c r="M65" s="619"/>
    </row>
    <row r="66" spans="1:13">
      <c r="A66" s="556" t="s">
        <v>539</v>
      </c>
      <c r="B66" s="585">
        <v>625524300</v>
      </c>
      <c r="C66" s="576">
        <v>56192200</v>
      </c>
      <c r="D66" s="576">
        <v>15975200</v>
      </c>
      <c r="E66" s="585">
        <v>72167400</v>
      </c>
      <c r="F66" s="585">
        <v>697691700</v>
      </c>
      <c r="G66" s="621">
        <v>0.10343737785615051</v>
      </c>
      <c r="H66" s="576">
        <v>288669.60000000003</v>
      </c>
      <c r="I66" s="619"/>
      <c r="K66" s="619"/>
      <c r="L66" s="619"/>
      <c r="M66" s="619"/>
    </row>
    <row r="67" spans="1:13" ht="9" customHeight="1">
      <c r="B67" s="585"/>
      <c r="C67" s="576"/>
      <c r="D67" s="576"/>
      <c r="E67" s="585"/>
      <c r="F67" s="585"/>
      <c r="G67" s="621"/>
      <c r="H67" s="576"/>
    </row>
    <row r="68" spans="1:13">
      <c r="A68" s="556" t="s">
        <v>120</v>
      </c>
      <c r="B68" s="585">
        <v>4703931000</v>
      </c>
      <c r="C68" s="576">
        <v>101859000</v>
      </c>
      <c r="D68" s="576">
        <v>184069000</v>
      </c>
      <c r="E68" s="585">
        <v>285928000</v>
      </c>
      <c r="F68" s="585">
        <v>4989859000</v>
      </c>
      <c r="G68" s="621">
        <v>5.7301819550412143E-2</v>
      </c>
      <c r="H68" s="576">
        <v>1858532</v>
      </c>
      <c r="I68" s="619"/>
      <c r="K68" s="619"/>
      <c r="L68" s="619"/>
      <c r="M68" s="619"/>
    </row>
    <row r="69" spans="1:13">
      <c r="A69" s="556" t="s">
        <v>122</v>
      </c>
      <c r="B69" s="585">
        <v>11459464400</v>
      </c>
      <c r="C69" s="576">
        <v>520726100</v>
      </c>
      <c r="D69" s="576">
        <v>149376700</v>
      </c>
      <c r="E69" s="585">
        <v>670102800</v>
      </c>
      <c r="F69" s="585">
        <v>12129567200</v>
      </c>
      <c r="G69" s="621">
        <v>5.5245400676785898E-2</v>
      </c>
      <c r="H69" s="576">
        <v>5159791.5600000005</v>
      </c>
      <c r="I69" s="619"/>
      <c r="K69" s="619"/>
      <c r="L69" s="619"/>
      <c r="M69" s="619"/>
    </row>
    <row r="70" spans="1:13">
      <c r="A70" s="556" t="s">
        <v>124</v>
      </c>
      <c r="B70" s="585">
        <v>790102775</v>
      </c>
      <c r="C70" s="576">
        <v>18013900</v>
      </c>
      <c r="D70" s="576">
        <v>30626700</v>
      </c>
      <c r="E70" s="585">
        <v>48640600</v>
      </c>
      <c r="F70" s="585">
        <v>838743375</v>
      </c>
      <c r="G70" s="621">
        <v>5.7992231533274409E-2</v>
      </c>
      <c r="H70" s="576">
        <v>233474.88</v>
      </c>
      <c r="I70" s="619"/>
      <c r="K70" s="619"/>
      <c r="L70" s="619"/>
      <c r="M70" s="619"/>
    </row>
    <row r="71" spans="1:13">
      <c r="A71" s="556" t="s">
        <v>126</v>
      </c>
      <c r="B71" s="585">
        <v>2732330500</v>
      </c>
      <c r="C71" s="576">
        <v>829622900</v>
      </c>
      <c r="D71" s="576">
        <v>50865100</v>
      </c>
      <c r="E71" s="585">
        <v>880488000</v>
      </c>
      <c r="F71" s="585">
        <v>3612818500</v>
      </c>
      <c r="G71" s="621">
        <v>0.24371221526904824</v>
      </c>
      <c r="H71" s="576">
        <v>4402440</v>
      </c>
      <c r="I71" s="619"/>
      <c r="K71" s="619"/>
      <c r="L71" s="619"/>
      <c r="M71" s="619"/>
    </row>
    <row r="72" spans="1:13" ht="12" customHeight="1">
      <c r="A72" s="556" t="s">
        <v>128</v>
      </c>
      <c r="B72" s="585">
        <v>1836058164</v>
      </c>
      <c r="C72" s="576">
        <v>45554378</v>
      </c>
      <c r="D72" s="576">
        <v>69837781</v>
      </c>
      <c r="E72" s="585">
        <v>115392159</v>
      </c>
      <c r="F72" s="585">
        <v>1951450323</v>
      </c>
      <c r="G72" s="621">
        <v>5.9131486792144181E-2</v>
      </c>
      <c r="H72" s="576">
        <v>934676.48790000018</v>
      </c>
      <c r="I72" s="619"/>
      <c r="K72" s="619"/>
      <c r="L72" s="619"/>
      <c r="M72" s="619"/>
    </row>
    <row r="73" spans="1:13" ht="9" customHeight="1">
      <c r="B73" s="585"/>
      <c r="C73" s="585"/>
      <c r="D73" s="576"/>
      <c r="E73" s="585"/>
      <c r="F73" s="585"/>
      <c r="G73" s="621"/>
      <c r="H73" s="585"/>
    </row>
    <row r="74" spans="1:13">
      <c r="A74" s="556" t="s">
        <v>130</v>
      </c>
      <c r="B74" s="585">
        <v>3169287900</v>
      </c>
      <c r="C74" s="576">
        <v>43166400</v>
      </c>
      <c r="D74" s="576">
        <v>71139700</v>
      </c>
      <c r="E74" s="585">
        <v>114306100</v>
      </c>
      <c r="F74" s="585">
        <v>3283594000</v>
      </c>
      <c r="G74" s="621">
        <v>3.4811276911822835E-2</v>
      </c>
      <c r="H74" s="576">
        <v>457224.4</v>
      </c>
      <c r="I74" s="619"/>
      <c r="K74" s="619"/>
      <c r="L74" s="619"/>
      <c r="M74" s="619"/>
    </row>
    <row r="75" spans="1:13">
      <c r="A75" s="556" t="s">
        <v>132</v>
      </c>
      <c r="B75" s="585">
        <v>870493305</v>
      </c>
      <c r="C75" s="576">
        <v>138708900</v>
      </c>
      <c r="D75" s="576">
        <v>80516800</v>
      </c>
      <c r="E75" s="585">
        <v>219225700</v>
      </c>
      <c r="F75" s="585">
        <v>1089719005</v>
      </c>
      <c r="G75" s="621">
        <v>0.20117635738581985</v>
      </c>
      <c r="H75" s="576">
        <v>1427159.307</v>
      </c>
      <c r="I75" s="619"/>
      <c r="K75" s="619"/>
      <c r="L75" s="619"/>
      <c r="M75" s="619"/>
    </row>
    <row r="76" spans="1:13">
      <c r="A76" s="556" t="s">
        <v>134</v>
      </c>
      <c r="B76" s="622">
        <v>56159809900</v>
      </c>
      <c r="C76" s="581">
        <v>3926732500</v>
      </c>
      <c r="D76" s="581">
        <v>1221324200</v>
      </c>
      <c r="E76" s="622">
        <v>5148056700</v>
      </c>
      <c r="F76" s="622">
        <v>61307866600</v>
      </c>
      <c r="G76" s="623">
        <v>8.3970573198839701E-2</v>
      </c>
      <c r="H76" s="581">
        <v>63578500.245000005</v>
      </c>
      <c r="I76" s="619"/>
      <c r="K76" s="619"/>
      <c r="L76" s="619"/>
      <c r="M76" s="619"/>
    </row>
    <row r="77" spans="1:13">
      <c r="A77" s="556" t="s">
        <v>136</v>
      </c>
      <c r="B77" s="585">
        <v>4817351000</v>
      </c>
      <c r="C77" s="576">
        <v>39100400</v>
      </c>
      <c r="D77" s="576">
        <v>114263200</v>
      </c>
      <c r="E77" s="585">
        <v>153363600</v>
      </c>
      <c r="F77" s="585">
        <v>4970714600</v>
      </c>
      <c r="G77" s="621">
        <v>3.0853431013721851E-2</v>
      </c>
      <c r="H77" s="576">
        <v>950854.32</v>
      </c>
      <c r="I77" s="619"/>
      <c r="K77" s="619"/>
      <c r="L77" s="619"/>
      <c r="M77" s="619"/>
    </row>
    <row r="78" spans="1:13">
      <c r="A78" s="556" t="s">
        <v>138</v>
      </c>
      <c r="B78" s="585">
        <v>883868900</v>
      </c>
      <c r="C78" s="576">
        <v>39985300</v>
      </c>
      <c r="D78" s="576">
        <v>46268500</v>
      </c>
      <c r="E78" s="585">
        <v>86253800</v>
      </c>
      <c r="F78" s="585">
        <v>970122700</v>
      </c>
      <c r="G78" s="621">
        <v>8.891019661739695E-2</v>
      </c>
      <c r="H78" s="576">
        <v>310513.68</v>
      </c>
      <c r="I78" s="619"/>
      <c r="K78" s="619"/>
      <c r="L78" s="619"/>
      <c r="M78" s="619"/>
    </row>
    <row r="79" spans="1:13" ht="9" customHeight="1">
      <c r="B79" s="585"/>
      <c r="C79" s="576"/>
      <c r="D79" s="576"/>
      <c r="E79" s="585"/>
      <c r="F79" s="585"/>
      <c r="G79" s="621"/>
      <c r="H79" s="576"/>
    </row>
    <row r="80" spans="1:13">
      <c r="A80" s="556" t="s">
        <v>140</v>
      </c>
      <c r="B80" s="585">
        <v>2724139400</v>
      </c>
      <c r="C80" s="576">
        <v>247160900</v>
      </c>
      <c r="D80" s="576">
        <v>175106400</v>
      </c>
      <c r="E80" s="585">
        <v>422267300</v>
      </c>
      <c r="F80" s="585">
        <v>3146406700</v>
      </c>
      <c r="G80" s="621">
        <v>0.13420620417570303</v>
      </c>
      <c r="H80" s="576">
        <v>2111336.5</v>
      </c>
      <c r="I80" s="619"/>
      <c r="K80" s="619"/>
      <c r="L80" s="619"/>
      <c r="M80" s="619"/>
    </row>
    <row r="81" spans="1:13">
      <c r="A81" s="556" t="s">
        <v>142</v>
      </c>
      <c r="B81" s="585">
        <v>1659158650</v>
      </c>
      <c r="C81" s="576">
        <v>11960600</v>
      </c>
      <c r="D81" s="576">
        <v>53160400</v>
      </c>
      <c r="E81" s="585">
        <v>65121000</v>
      </c>
      <c r="F81" s="585">
        <v>1724279650</v>
      </c>
      <c r="G81" s="621">
        <v>3.7767075659682001E-2</v>
      </c>
      <c r="H81" s="576">
        <v>364677.60000000003</v>
      </c>
      <c r="I81" s="619"/>
      <c r="K81" s="619"/>
      <c r="L81" s="619"/>
      <c r="M81" s="619"/>
    </row>
    <row r="82" spans="1:13">
      <c r="A82" s="556" t="s">
        <v>144</v>
      </c>
      <c r="B82" s="585">
        <v>3743862800</v>
      </c>
      <c r="C82" s="576">
        <v>238328900</v>
      </c>
      <c r="D82" s="576">
        <v>175123200</v>
      </c>
      <c r="E82" s="585">
        <v>413452100</v>
      </c>
      <c r="F82" s="585">
        <v>4157314900</v>
      </c>
      <c r="G82" s="621">
        <v>9.9451715817822695E-2</v>
      </c>
      <c r="H82" s="576">
        <v>1488427.56</v>
      </c>
      <c r="I82" s="619"/>
      <c r="K82" s="619"/>
      <c r="L82" s="619"/>
      <c r="M82" s="619"/>
    </row>
    <row r="83" spans="1:13">
      <c r="A83" s="556" t="s">
        <v>146</v>
      </c>
      <c r="B83" s="585">
        <v>2476398000</v>
      </c>
      <c r="C83" s="576">
        <v>31454100</v>
      </c>
      <c r="D83" s="576">
        <v>72932000</v>
      </c>
      <c r="E83" s="585">
        <v>104386100</v>
      </c>
      <c r="F83" s="585">
        <v>2580784100</v>
      </c>
      <c r="G83" s="621">
        <v>4.0447436110599103E-2</v>
      </c>
      <c r="H83" s="576">
        <v>448860.23</v>
      </c>
      <c r="I83" s="619"/>
      <c r="K83" s="619"/>
      <c r="L83" s="619"/>
      <c r="M83" s="619"/>
    </row>
    <row r="84" spans="1:13">
      <c r="A84" s="556" t="s">
        <v>148</v>
      </c>
      <c r="B84" s="585">
        <v>7159568600</v>
      </c>
      <c r="C84" s="576">
        <v>581235700</v>
      </c>
      <c r="D84" s="576">
        <v>1869091800</v>
      </c>
      <c r="E84" s="585">
        <v>2450327500</v>
      </c>
      <c r="F84" s="585">
        <v>9609896100</v>
      </c>
      <c r="G84" s="621">
        <v>0.25497960378572665</v>
      </c>
      <c r="H84" s="576">
        <v>18377456.25</v>
      </c>
      <c r="I84" s="619"/>
      <c r="K84" s="619"/>
      <c r="L84" s="619"/>
      <c r="M84" s="619"/>
    </row>
    <row r="85" spans="1:13" ht="15">
      <c r="A85" s="555" t="s">
        <v>966</v>
      </c>
      <c r="B85" s="606"/>
      <c r="C85" s="606"/>
      <c r="D85" s="606"/>
      <c r="E85" s="606"/>
      <c r="F85" s="606"/>
      <c r="G85" s="606"/>
      <c r="H85" s="606"/>
    </row>
    <row r="86" spans="1:13" ht="12.75">
      <c r="A86" s="1082" t="s">
        <v>1069</v>
      </c>
      <c r="B86" s="1083"/>
      <c r="C86" s="1083"/>
      <c r="D86" s="1083"/>
      <c r="E86" s="1083"/>
      <c r="F86" s="1083"/>
      <c r="G86" s="1083"/>
      <c r="H86" s="1083"/>
    </row>
    <row r="87" spans="1:13" ht="12.75" thickBot="1">
      <c r="A87" s="562"/>
      <c r="B87" s="562"/>
      <c r="C87" s="562"/>
      <c r="D87" s="562"/>
      <c r="E87" s="562"/>
      <c r="F87" s="562"/>
      <c r="G87" s="562"/>
      <c r="H87" s="562"/>
    </row>
    <row r="88" spans="1:13" ht="14.25" customHeight="1">
      <c r="A88" s="618"/>
      <c r="B88" s="618"/>
      <c r="C88" s="618"/>
      <c r="D88" s="618"/>
      <c r="E88" s="618"/>
      <c r="F88" s="618" t="s">
        <v>937</v>
      </c>
      <c r="G88" s="618"/>
      <c r="H88" s="618" t="s">
        <v>951</v>
      </c>
    </row>
    <row r="89" spans="1:13">
      <c r="A89" s="566"/>
      <c r="B89" s="566" t="s">
        <v>952</v>
      </c>
      <c r="C89" s="1090" t="s">
        <v>953</v>
      </c>
      <c r="D89" s="1090"/>
      <c r="E89" s="1090"/>
      <c r="F89" s="566" t="s">
        <v>954</v>
      </c>
      <c r="G89" s="566" t="s">
        <v>955</v>
      </c>
      <c r="H89" s="566" t="s">
        <v>956</v>
      </c>
    </row>
    <row r="90" spans="1:13">
      <c r="A90" s="563" t="s">
        <v>33</v>
      </c>
      <c r="B90" s="563" t="s">
        <v>957</v>
      </c>
      <c r="C90" s="563" t="s">
        <v>958</v>
      </c>
      <c r="D90" s="563" t="s">
        <v>959</v>
      </c>
      <c r="E90" s="563" t="s">
        <v>960</v>
      </c>
      <c r="F90" s="563" t="s">
        <v>961</v>
      </c>
      <c r="G90" s="563" t="s">
        <v>937</v>
      </c>
      <c r="H90" s="563" t="s">
        <v>505</v>
      </c>
    </row>
    <row r="91" spans="1:13" ht="9" customHeight="1">
      <c r="B91" s="585"/>
      <c r="C91" s="585"/>
      <c r="D91" s="576"/>
      <c r="E91" s="585"/>
      <c r="F91" s="585"/>
      <c r="G91" s="621"/>
      <c r="H91" s="585"/>
    </row>
    <row r="92" spans="1:13">
      <c r="A92" s="556" t="s">
        <v>150</v>
      </c>
      <c r="B92" s="620">
        <v>3594189600</v>
      </c>
      <c r="C92" s="588">
        <v>90926100</v>
      </c>
      <c r="D92" s="588">
        <v>172691000</v>
      </c>
      <c r="E92" s="620">
        <v>263617100</v>
      </c>
      <c r="F92" s="620">
        <v>3857806700</v>
      </c>
      <c r="G92" s="621">
        <v>6.833341338745666E-2</v>
      </c>
      <c r="H92" s="588">
        <v>1581702.6</v>
      </c>
      <c r="I92" s="619"/>
      <c r="K92" s="619"/>
      <c r="L92" s="619"/>
      <c r="M92" s="619"/>
    </row>
    <row r="93" spans="1:13">
      <c r="A93" s="556" t="s">
        <v>962</v>
      </c>
      <c r="B93" s="585">
        <v>2688690848</v>
      </c>
      <c r="C93" s="576">
        <v>0</v>
      </c>
      <c r="D93" s="576">
        <v>0</v>
      </c>
      <c r="E93" s="585">
        <v>180034400</v>
      </c>
      <c r="F93" s="585">
        <v>2868725248</v>
      </c>
      <c r="G93" s="621">
        <v>6.2757630806754769E-2</v>
      </c>
      <c r="H93" s="576">
        <v>1481763.5</v>
      </c>
      <c r="I93" s="619"/>
      <c r="K93" s="619"/>
      <c r="L93" s="619"/>
      <c r="M93" s="619"/>
    </row>
    <row r="94" spans="1:13">
      <c r="A94" s="556" t="s">
        <v>154</v>
      </c>
      <c r="B94" s="585">
        <v>2883452600</v>
      </c>
      <c r="C94" s="576">
        <v>189391300</v>
      </c>
      <c r="D94" s="576">
        <v>379328900</v>
      </c>
      <c r="E94" s="585">
        <v>568720200</v>
      </c>
      <c r="F94" s="585">
        <v>3452172800</v>
      </c>
      <c r="G94" s="621">
        <v>0.16474268032005815</v>
      </c>
      <c r="H94" s="576">
        <v>2786728.98</v>
      </c>
      <c r="I94" s="619"/>
      <c r="K94" s="619"/>
      <c r="L94" s="619"/>
      <c r="M94" s="619"/>
    </row>
    <row r="95" spans="1:13">
      <c r="A95" s="556" t="s">
        <v>156</v>
      </c>
      <c r="B95" s="585">
        <v>3229649500</v>
      </c>
      <c r="C95" s="576">
        <v>26975800</v>
      </c>
      <c r="D95" s="576">
        <v>69126600</v>
      </c>
      <c r="E95" s="585">
        <v>96102400</v>
      </c>
      <c r="F95" s="585">
        <v>3325751900</v>
      </c>
      <c r="G95" s="621">
        <v>2.8896442936708538E-2</v>
      </c>
      <c r="H95" s="576">
        <v>384409.60000000003</v>
      </c>
      <c r="I95" s="619"/>
      <c r="K95" s="619"/>
      <c r="L95" s="619"/>
      <c r="M95" s="619"/>
    </row>
    <row r="96" spans="1:13">
      <c r="A96" s="556" t="s">
        <v>158</v>
      </c>
      <c r="B96" s="585">
        <v>847126063</v>
      </c>
      <c r="C96" s="576">
        <v>472023228</v>
      </c>
      <c r="D96" s="576">
        <v>60954575</v>
      </c>
      <c r="E96" s="585">
        <v>532977803</v>
      </c>
      <c r="F96" s="585">
        <v>1380103866</v>
      </c>
      <c r="G96" s="621">
        <v>0.38618673284696098</v>
      </c>
      <c r="H96" s="576">
        <v>2611591.2346999999</v>
      </c>
      <c r="I96" s="619"/>
      <c r="K96" s="619"/>
      <c r="L96" s="619"/>
      <c r="M96" s="619"/>
    </row>
    <row r="97" spans="1:13" ht="9" customHeight="1">
      <c r="B97" s="585"/>
      <c r="C97" s="576"/>
      <c r="D97" s="576"/>
      <c r="E97" s="585"/>
      <c r="F97" s="585"/>
      <c r="G97" s="621"/>
      <c r="H97" s="576"/>
    </row>
    <row r="98" spans="1:13">
      <c r="A98" s="556" t="s">
        <v>160</v>
      </c>
      <c r="B98" s="585">
        <v>5623888500</v>
      </c>
      <c r="C98" s="576">
        <v>244953400</v>
      </c>
      <c r="D98" s="576">
        <v>101244700</v>
      </c>
      <c r="E98" s="585">
        <v>346198100</v>
      </c>
      <c r="F98" s="585">
        <v>5970086600</v>
      </c>
      <c r="G98" s="621">
        <v>5.7988790313359941E-2</v>
      </c>
      <c r="H98" s="576">
        <v>1696370.69</v>
      </c>
      <c r="I98" s="619"/>
      <c r="K98" s="619"/>
      <c r="L98" s="619"/>
      <c r="M98" s="619"/>
    </row>
    <row r="99" spans="1:13">
      <c r="A99" s="556" t="s">
        <v>162</v>
      </c>
      <c r="B99" s="585">
        <v>2410237200</v>
      </c>
      <c r="C99" s="576">
        <v>230532800</v>
      </c>
      <c r="D99" s="576">
        <v>167441900</v>
      </c>
      <c r="E99" s="585">
        <v>397974700</v>
      </c>
      <c r="F99" s="585">
        <v>2808211900</v>
      </c>
      <c r="G99" s="621">
        <v>0.14171818729206298</v>
      </c>
      <c r="H99" s="576">
        <v>2547038.08</v>
      </c>
      <c r="I99" s="619"/>
      <c r="K99" s="619"/>
      <c r="L99" s="619"/>
      <c r="M99" s="619"/>
    </row>
    <row r="100" spans="1:13">
      <c r="A100" s="556" t="s">
        <v>163</v>
      </c>
      <c r="B100" s="585">
        <v>1728619400</v>
      </c>
      <c r="C100" s="576">
        <v>34281600</v>
      </c>
      <c r="D100" s="576">
        <v>96013800</v>
      </c>
      <c r="E100" s="585">
        <v>130295400</v>
      </c>
      <c r="F100" s="585">
        <v>1858914800</v>
      </c>
      <c r="G100" s="621">
        <v>7.0092184967272306E-2</v>
      </c>
      <c r="H100" s="576">
        <v>625417.91999999993</v>
      </c>
      <c r="I100" s="619"/>
      <c r="K100" s="619"/>
      <c r="L100" s="619"/>
      <c r="M100" s="619"/>
    </row>
    <row r="101" spans="1:13">
      <c r="A101" s="556" t="s">
        <v>165</v>
      </c>
      <c r="B101" s="585">
        <v>4199513630</v>
      </c>
      <c r="C101" s="576">
        <v>148590300</v>
      </c>
      <c r="D101" s="576">
        <v>331512400</v>
      </c>
      <c r="E101" s="585">
        <v>480102700</v>
      </c>
      <c r="F101" s="585">
        <v>4679616330</v>
      </c>
      <c r="G101" s="621">
        <v>0.10259445778111471</v>
      </c>
      <c r="H101" s="576">
        <v>2496534.04</v>
      </c>
      <c r="I101" s="619"/>
      <c r="K101" s="619"/>
      <c r="L101" s="619"/>
      <c r="M101" s="619"/>
    </row>
    <row r="102" spans="1:13">
      <c r="A102" s="556" t="s">
        <v>167</v>
      </c>
      <c r="B102" s="585">
        <v>3832698900</v>
      </c>
      <c r="C102" s="576">
        <v>142497100</v>
      </c>
      <c r="D102" s="576">
        <v>181873400</v>
      </c>
      <c r="E102" s="585">
        <v>324370500</v>
      </c>
      <c r="F102" s="585">
        <v>4157069400</v>
      </c>
      <c r="G102" s="621">
        <v>7.8028646815470531E-2</v>
      </c>
      <c r="H102" s="576">
        <v>2497652.8499999996</v>
      </c>
      <c r="I102" s="619"/>
      <c r="K102" s="619"/>
      <c r="L102" s="619"/>
      <c r="M102" s="619"/>
    </row>
    <row r="103" spans="1:13" ht="9" customHeight="1">
      <c r="B103" s="585"/>
      <c r="C103" s="585"/>
      <c r="D103" s="576"/>
      <c r="E103" s="585"/>
      <c r="F103" s="585"/>
      <c r="G103" s="621"/>
      <c r="H103" s="585"/>
    </row>
    <row r="104" spans="1:13">
      <c r="A104" s="556" t="s">
        <v>168</v>
      </c>
      <c r="B104" s="585">
        <v>1581749340</v>
      </c>
      <c r="C104" s="576">
        <v>72875500</v>
      </c>
      <c r="D104" s="576">
        <v>262446900</v>
      </c>
      <c r="E104" s="585">
        <v>335322400</v>
      </c>
      <c r="F104" s="585">
        <v>1917071740</v>
      </c>
      <c r="G104" s="621">
        <v>0.1749138506418127</v>
      </c>
      <c r="H104" s="576">
        <v>1408354.08</v>
      </c>
      <c r="I104" s="619"/>
      <c r="K104" s="619"/>
      <c r="L104" s="619"/>
      <c r="M104" s="619"/>
    </row>
    <row r="105" spans="1:13">
      <c r="A105" s="556" t="s">
        <v>170</v>
      </c>
      <c r="B105" s="585">
        <v>2682902900</v>
      </c>
      <c r="C105" s="576">
        <v>1779492800</v>
      </c>
      <c r="D105" s="576">
        <v>102567600</v>
      </c>
      <c r="E105" s="585">
        <v>1882060400</v>
      </c>
      <c r="F105" s="585">
        <v>4564963300</v>
      </c>
      <c r="G105" s="621">
        <v>0.41228379645461771</v>
      </c>
      <c r="H105" s="576">
        <v>15056483.200000001</v>
      </c>
      <c r="I105" s="619"/>
      <c r="K105" s="619"/>
      <c r="L105" s="619"/>
      <c r="M105" s="619"/>
    </row>
    <row r="106" spans="1:13">
      <c r="A106" s="556" t="s">
        <v>172</v>
      </c>
      <c r="B106" s="585">
        <v>40425585600</v>
      </c>
      <c r="C106" s="576">
        <v>2088049700</v>
      </c>
      <c r="D106" s="576">
        <v>1095119100</v>
      </c>
      <c r="E106" s="585">
        <v>3183168800</v>
      </c>
      <c r="F106" s="585">
        <v>43608754400</v>
      </c>
      <c r="G106" s="621">
        <v>7.2993802363683191E-2</v>
      </c>
      <c r="H106" s="576">
        <v>38325352.351999998</v>
      </c>
      <c r="I106" s="619"/>
      <c r="K106" s="619"/>
      <c r="L106" s="619"/>
      <c r="M106" s="619"/>
    </row>
    <row r="107" spans="1:13">
      <c r="A107" s="556" t="s">
        <v>174</v>
      </c>
      <c r="B107" s="585">
        <v>2835258000</v>
      </c>
      <c r="C107" s="576">
        <v>595222000</v>
      </c>
      <c r="D107" s="576">
        <v>104799300</v>
      </c>
      <c r="E107" s="585">
        <v>700021300</v>
      </c>
      <c r="F107" s="585">
        <v>3535279300</v>
      </c>
      <c r="G107" s="621">
        <v>0.19801018267495868</v>
      </c>
      <c r="H107" s="576">
        <v>3780115.0200000005</v>
      </c>
      <c r="I107" s="619"/>
      <c r="K107" s="619"/>
      <c r="L107" s="619"/>
      <c r="M107" s="619"/>
    </row>
    <row r="108" spans="1:13">
      <c r="A108" s="556" t="s">
        <v>176</v>
      </c>
      <c r="B108" s="585">
        <v>2117425400</v>
      </c>
      <c r="C108" s="576">
        <v>110840300</v>
      </c>
      <c r="D108" s="576">
        <v>34594700</v>
      </c>
      <c r="E108" s="585">
        <v>145435000</v>
      </c>
      <c r="F108" s="585">
        <v>2262860400</v>
      </c>
      <c r="G108" s="621">
        <v>6.427042516630721E-2</v>
      </c>
      <c r="H108" s="576">
        <v>843523</v>
      </c>
      <c r="I108" s="619"/>
      <c r="K108" s="619"/>
      <c r="L108" s="619"/>
      <c r="M108" s="619"/>
    </row>
    <row r="109" spans="1:13" ht="9" customHeight="1">
      <c r="B109" s="585"/>
      <c r="C109" s="576"/>
      <c r="D109" s="576"/>
      <c r="E109" s="585"/>
      <c r="F109" s="585"/>
      <c r="G109" s="621"/>
      <c r="H109" s="576"/>
    </row>
    <row r="110" spans="1:13">
      <c r="A110" s="556" t="s">
        <v>178</v>
      </c>
      <c r="B110" s="585">
        <v>853031767</v>
      </c>
      <c r="C110" s="576">
        <v>66427111</v>
      </c>
      <c r="D110" s="576">
        <v>46206219</v>
      </c>
      <c r="E110" s="585">
        <v>112633330</v>
      </c>
      <c r="F110" s="585">
        <v>965665097</v>
      </c>
      <c r="G110" s="621">
        <v>0.11663808741758842</v>
      </c>
      <c r="H110" s="576">
        <v>754643.31099999999</v>
      </c>
      <c r="I110" s="619"/>
      <c r="K110" s="619"/>
      <c r="L110" s="619"/>
      <c r="M110" s="619"/>
    </row>
    <row r="111" spans="1:13">
      <c r="A111" s="556" t="s">
        <v>37</v>
      </c>
      <c r="B111" s="585">
        <v>8224869500</v>
      </c>
      <c r="C111" s="576">
        <v>585047300</v>
      </c>
      <c r="D111" s="576">
        <v>411810500</v>
      </c>
      <c r="E111" s="585">
        <v>996857800</v>
      </c>
      <c r="F111" s="585">
        <v>9221727300</v>
      </c>
      <c r="G111" s="621">
        <v>0.10809881571752832</v>
      </c>
      <c r="H111" s="576">
        <v>10865750.02</v>
      </c>
      <c r="I111" s="619"/>
      <c r="K111" s="619"/>
      <c r="L111" s="619"/>
      <c r="M111" s="619"/>
    </row>
    <row r="112" spans="1:13">
      <c r="A112" s="556" t="s">
        <v>180</v>
      </c>
      <c r="B112" s="585">
        <v>2756699406</v>
      </c>
      <c r="C112" s="576">
        <v>162686600</v>
      </c>
      <c r="D112" s="576">
        <v>166002600</v>
      </c>
      <c r="E112" s="585">
        <v>328689200</v>
      </c>
      <c r="F112" s="585">
        <v>3085388606</v>
      </c>
      <c r="G112" s="621">
        <v>0.10653089188208405</v>
      </c>
      <c r="H112" s="576">
        <v>2005004.12</v>
      </c>
      <c r="I112" s="619"/>
      <c r="K112" s="619"/>
      <c r="L112" s="619"/>
      <c r="M112" s="619"/>
    </row>
    <row r="113" spans="1:13">
      <c r="A113" s="556" t="s">
        <v>181</v>
      </c>
      <c r="B113" s="585">
        <v>7927445700</v>
      </c>
      <c r="C113" s="576">
        <v>330068400</v>
      </c>
      <c r="D113" s="576">
        <v>808727300</v>
      </c>
      <c r="E113" s="585">
        <v>1138795700</v>
      </c>
      <c r="F113" s="585">
        <v>9066241400</v>
      </c>
      <c r="G113" s="621">
        <v>0.12560835849793278</v>
      </c>
      <c r="H113" s="576">
        <v>7288292.4800000004</v>
      </c>
      <c r="I113" s="619"/>
      <c r="K113" s="619"/>
      <c r="L113" s="619"/>
      <c r="M113" s="619"/>
    </row>
    <row r="114" spans="1:13">
      <c r="A114" s="558" t="s">
        <v>183</v>
      </c>
      <c r="B114" s="626">
        <v>1317009410</v>
      </c>
      <c r="C114" s="576">
        <v>93759740</v>
      </c>
      <c r="D114" s="576">
        <v>71139000</v>
      </c>
      <c r="E114" s="626">
        <v>164898740</v>
      </c>
      <c r="F114" s="626">
        <v>1481908150</v>
      </c>
      <c r="G114" s="627">
        <v>0.11127460227545141</v>
      </c>
      <c r="H114" s="576">
        <v>1005882.314</v>
      </c>
      <c r="I114" s="619"/>
      <c r="K114" s="619"/>
      <c r="L114" s="619"/>
      <c r="M114" s="619"/>
    </row>
    <row r="115" spans="1:13" ht="8.25" customHeight="1"/>
    <row r="116" spans="1:13">
      <c r="A116" s="556" t="s">
        <v>185</v>
      </c>
      <c r="B116" s="576">
        <v>1167808100</v>
      </c>
      <c r="C116" s="576">
        <v>77899103</v>
      </c>
      <c r="D116" s="576">
        <v>147868200</v>
      </c>
      <c r="E116" s="576">
        <v>225767303</v>
      </c>
      <c r="F116" s="591">
        <v>1393575403</v>
      </c>
      <c r="G116" s="628">
        <v>0.16200580357114699</v>
      </c>
      <c r="H116" s="576">
        <v>1557794.3906999999</v>
      </c>
      <c r="I116" s="619"/>
      <c r="K116" s="619"/>
      <c r="L116" s="619"/>
      <c r="M116" s="619"/>
    </row>
    <row r="117" spans="1:13">
      <c r="A117" s="556" t="s">
        <v>187</v>
      </c>
      <c r="B117" s="585">
        <v>5050252900</v>
      </c>
      <c r="C117" s="576">
        <v>447789000</v>
      </c>
      <c r="D117" s="576">
        <v>183280200</v>
      </c>
      <c r="E117" s="585">
        <v>631069200</v>
      </c>
      <c r="F117" s="585">
        <v>5681322100</v>
      </c>
      <c r="G117" s="621">
        <v>0.11107787745391165</v>
      </c>
      <c r="H117" s="576">
        <v>2966025.2399999998</v>
      </c>
      <c r="I117" s="619"/>
      <c r="K117" s="619"/>
      <c r="L117" s="619"/>
      <c r="M117" s="619"/>
    </row>
    <row r="118" spans="1:13">
      <c r="A118" s="556" t="s">
        <v>189</v>
      </c>
      <c r="B118" s="585">
        <v>1587683500</v>
      </c>
      <c r="C118" s="576">
        <v>128771000</v>
      </c>
      <c r="D118" s="576">
        <v>166439100</v>
      </c>
      <c r="E118" s="585">
        <v>295210100</v>
      </c>
      <c r="F118" s="585">
        <v>1882893600</v>
      </c>
      <c r="G118" s="621">
        <v>0.15678533295774122</v>
      </c>
      <c r="H118" s="576">
        <v>2036949.6899999997</v>
      </c>
      <c r="I118" s="619"/>
      <c r="K118" s="619"/>
      <c r="L118" s="619"/>
      <c r="M118" s="619"/>
    </row>
    <row r="119" spans="1:13">
      <c r="A119" s="556" t="s">
        <v>191</v>
      </c>
      <c r="B119" s="585">
        <v>1628191600</v>
      </c>
      <c r="C119" s="576">
        <v>110865000</v>
      </c>
      <c r="D119" s="576">
        <v>88653500</v>
      </c>
      <c r="E119" s="585">
        <v>199518500</v>
      </c>
      <c r="F119" s="585">
        <v>1827710100</v>
      </c>
      <c r="G119" s="621">
        <v>0.10916309977167604</v>
      </c>
      <c r="H119" s="576">
        <v>1536292.4500000002</v>
      </c>
      <c r="I119" s="619"/>
      <c r="K119" s="619"/>
      <c r="L119" s="619"/>
      <c r="M119" s="619"/>
    </row>
    <row r="120" spans="1:13">
      <c r="A120" s="556" t="s">
        <v>193</v>
      </c>
      <c r="B120" s="585">
        <v>12790018108</v>
      </c>
      <c r="C120" s="576">
        <v>638556100</v>
      </c>
      <c r="D120" s="576">
        <v>175655300</v>
      </c>
      <c r="E120" s="585">
        <v>814211400</v>
      </c>
      <c r="F120" s="585">
        <v>13604229508</v>
      </c>
      <c r="G120" s="621">
        <v>5.9849872388671552E-2</v>
      </c>
      <c r="H120" s="576">
        <v>7002218.04</v>
      </c>
      <c r="I120" s="619"/>
      <c r="K120" s="619"/>
      <c r="L120" s="619"/>
      <c r="M120" s="619"/>
    </row>
    <row r="121" spans="1:13" ht="9" customHeight="1">
      <c r="B121" s="585"/>
      <c r="C121" s="576"/>
      <c r="D121" s="576"/>
      <c r="E121" s="585"/>
      <c r="F121" s="585"/>
      <c r="G121" s="621"/>
      <c r="H121" s="576"/>
    </row>
    <row r="122" spans="1:13">
      <c r="A122" s="556" t="s">
        <v>195</v>
      </c>
      <c r="B122" s="585">
        <v>13172771200</v>
      </c>
      <c r="C122" s="576">
        <v>842749800</v>
      </c>
      <c r="D122" s="576">
        <v>740617100</v>
      </c>
      <c r="E122" s="585">
        <v>1583366900</v>
      </c>
      <c r="F122" s="585">
        <v>14756138100</v>
      </c>
      <c r="G122" s="621">
        <v>0.10730225545937389</v>
      </c>
      <c r="H122" s="576">
        <v>17100362.52</v>
      </c>
      <c r="I122" s="619"/>
      <c r="K122" s="619"/>
      <c r="L122" s="619"/>
      <c r="M122" s="619"/>
    </row>
    <row r="123" spans="1:13">
      <c r="A123" s="556" t="s">
        <v>197</v>
      </c>
      <c r="B123" s="585">
        <v>875984300</v>
      </c>
      <c r="C123" s="576">
        <v>47958700</v>
      </c>
      <c r="D123" s="576">
        <v>57422600</v>
      </c>
      <c r="E123" s="585">
        <v>105381300</v>
      </c>
      <c r="F123" s="585">
        <v>981365600</v>
      </c>
      <c r="G123" s="621">
        <v>0.10738230482095562</v>
      </c>
      <c r="H123" s="576">
        <v>769283.49</v>
      </c>
      <c r="I123" s="619"/>
      <c r="K123" s="619"/>
      <c r="L123" s="619"/>
      <c r="M123" s="619"/>
    </row>
    <row r="124" spans="1:13" ht="12" customHeight="1">
      <c r="A124" s="556" t="s">
        <v>199</v>
      </c>
      <c r="B124" s="585">
        <v>780424063</v>
      </c>
      <c r="C124" s="576">
        <v>212053700</v>
      </c>
      <c r="D124" s="576">
        <v>51207500</v>
      </c>
      <c r="E124" s="585">
        <v>263261200</v>
      </c>
      <c r="F124" s="585">
        <v>1043685263</v>
      </c>
      <c r="G124" s="621">
        <v>0.25224194432263436</v>
      </c>
      <c r="H124" s="576">
        <v>1421610.48</v>
      </c>
      <c r="I124" s="619"/>
      <c r="K124" s="619"/>
      <c r="L124" s="619"/>
      <c r="M124" s="619"/>
    </row>
    <row r="125" spans="1:13">
      <c r="A125" s="556" t="s">
        <v>201</v>
      </c>
      <c r="B125" s="585">
        <v>2416523400</v>
      </c>
      <c r="C125" s="576">
        <v>226569300</v>
      </c>
      <c r="D125" s="576">
        <v>147178000</v>
      </c>
      <c r="E125" s="585">
        <v>373747300</v>
      </c>
      <c r="F125" s="585">
        <v>2790270700</v>
      </c>
      <c r="G125" s="621">
        <v>0.13394660955297277</v>
      </c>
      <c r="H125" s="576">
        <v>2167734.34</v>
      </c>
      <c r="I125" s="619"/>
      <c r="K125" s="619"/>
      <c r="L125" s="619"/>
      <c r="M125" s="619"/>
    </row>
    <row r="126" spans="1:13">
      <c r="A126" s="556" t="s">
        <v>203</v>
      </c>
      <c r="B126" s="585">
        <v>4111400800</v>
      </c>
      <c r="C126" s="576">
        <v>240728300</v>
      </c>
      <c r="D126" s="576">
        <v>362523900</v>
      </c>
      <c r="E126" s="585">
        <v>603252200</v>
      </c>
      <c r="F126" s="585">
        <v>4714653000</v>
      </c>
      <c r="G126" s="621">
        <v>0.12795261920654605</v>
      </c>
      <c r="H126" s="576">
        <v>3559187.9799999995</v>
      </c>
      <c r="I126" s="619"/>
      <c r="K126" s="619"/>
      <c r="L126" s="619"/>
      <c r="M126" s="619"/>
    </row>
    <row r="127" spans="1:13" ht="15">
      <c r="A127" s="555" t="s">
        <v>966</v>
      </c>
      <c r="B127" s="606"/>
      <c r="C127" s="606"/>
      <c r="D127" s="606"/>
      <c r="E127" s="606"/>
      <c r="F127" s="606"/>
      <c r="G127" s="606"/>
      <c r="H127" s="606"/>
    </row>
    <row r="128" spans="1:13" ht="12.75">
      <c r="A128" s="1082" t="s">
        <v>1069</v>
      </c>
      <c r="B128" s="1083"/>
      <c r="C128" s="1083"/>
      <c r="D128" s="1083"/>
      <c r="E128" s="1083"/>
      <c r="F128" s="1083"/>
      <c r="G128" s="1083"/>
      <c r="H128" s="1083"/>
    </row>
    <row r="129" spans="1:13" ht="12.75" thickBot="1">
      <c r="A129" s="562"/>
      <c r="B129" s="562"/>
      <c r="C129" s="562"/>
      <c r="D129" s="562"/>
      <c r="E129" s="562"/>
      <c r="F129" s="562"/>
      <c r="G129" s="562"/>
      <c r="H129" s="562"/>
    </row>
    <row r="130" spans="1:13" ht="14.25" customHeight="1">
      <c r="A130" s="618"/>
      <c r="B130" s="618"/>
      <c r="C130" s="618"/>
      <c r="D130" s="618"/>
      <c r="E130" s="618"/>
      <c r="F130" s="618" t="s">
        <v>937</v>
      </c>
      <c r="G130" s="618"/>
      <c r="H130" s="618" t="s">
        <v>951</v>
      </c>
    </row>
    <row r="131" spans="1:13">
      <c r="A131" s="566"/>
      <c r="B131" s="566" t="s">
        <v>952</v>
      </c>
      <c r="C131" s="1090" t="s">
        <v>953</v>
      </c>
      <c r="D131" s="1090"/>
      <c r="E131" s="1090"/>
      <c r="F131" s="566" t="s">
        <v>954</v>
      </c>
      <c r="G131" s="566" t="s">
        <v>955</v>
      </c>
      <c r="H131" s="566" t="s">
        <v>956</v>
      </c>
    </row>
    <row r="132" spans="1:13">
      <c r="A132" s="563" t="s">
        <v>33</v>
      </c>
      <c r="B132" s="563" t="s">
        <v>957</v>
      </c>
      <c r="C132" s="563" t="s">
        <v>958</v>
      </c>
      <c r="D132" s="563" t="s">
        <v>959</v>
      </c>
      <c r="E132" s="563" t="s">
        <v>960</v>
      </c>
      <c r="F132" s="563" t="s">
        <v>961</v>
      </c>
      <c r="G132" s="563" t="s">
        <v>937</v>
      </c>
      <c r="H132" s="563" t="s">
        <v>505</v>
      </c>
    </row>
    <row r="133" spans="1:13" ht="9" customHeight="1">
      <c r="B133" s="585"/>
      <c r="C133" s="576"/>
      <c r="D133" s="576"/>
      <c r="E133" s="585"/>
      <c r="F133" s="585"/>
      <c r="G133" s="621"/>
      <c r="H133" s="576"/>
    </row>
    <row r="134" spans="1:13">
      <c r="A134" s="556" t="s">
        <v>205</v>
      </c>
      <c r="B134" s="620">
        <v>4407277100</v>
      </c>
      <c r="C134" s="588">
        <v>250363100</v>
      </c>
      <c r="D134" s="588">
        <v>378668600</v>
      </c>
      <c r="E134" s="620">
        <v>629031700</v>
      </c>
      <c r="F134" s="620">
        <v>5036308800</v>
      </c>
      <c r="G134" s="621">
        <v>0.12489935088968333</v>
      </c>
      <c r="H134" s="588">
        <v>3648383.86</v>
      </c>
      <c r="I134" s="619"/>
      <c r="K134" s="619"/>
      <c r="L134" s="619"/>
      <c r="M134" s="619"/>
    </row>
    <row r="135" spans="1:13">
      <c r="A135" s="556" t="s">
        <v>207</v>
      </c>
      <c r="B135" s="585">
        <v>2611025100</v>
      </c>
      <c r="C135" s="576">
        <v>65724500</v>
      </c>
      <c r="D135" s="576">
        <v>83326100</v>
      </c>
      <c r="E135" s="585">
        <v>149050600</v>
      </c>
      <c r="F135" s="585">
        <v>2760075700</v>
      </c>
      <c r="G135" s="621">
        <v>5.4002359428040325E-2</v>
      </c>
      <c r="H135" s="576">
        <v>685632.76</v>
      </c>
      <c r="I135" s="619"/>
      <c r="K135" s="619"/>
      <c r="L135" s="619"/>
      <c r="M135" s="619"/>
    </row>
    <row r="136" spans="1:13">
      <c r="A136" s="556" t="s">
        <v>209</v>
      </c>
      <c r="B136" s="585">
        <v>2039908160</v>
      </c>
      <c r="C136" s="576">
        <v>383284600</v>
      </c>
      <c r="D136" s="576">
        <v>459289500</v>
      </c>
      <c r="E136" s="585">
        <v>842574100</v>
      </c>
      <c r="F136" s="585">
        <v>2882482260</v>
      </c>
      <c r="G136" s="621">
        <v>0.29230851190043405</v>
      </c>
      <c r="H136" s="576">
        <v>4802672.3699999992</v>
      </c>
      <c r="I136" s="619"/>
      <c r="K136" s="619"/>
      <c r="L136" s="619"/>
      <c r="M136" s="619"/>
    </row>
    <row r="137" spans="1:13">
      <c r="A137" s="556" t="s">
        <v>211</v>
      </c>
      <c r="B137" s="585">
        <v>2485092800</v>
      </c>
      <c r="C137" s="576">
        <v>201095700</v>
      </c>
      <c r="D137" s="576">
        <v>138291500</v>
      </c>
      <c r="E137" s="585">
        <v>339387200</v>
      </c>
      <c r="F137" s="585">
        <v>2824480000</v>
      </c>
      <c r="G137" s="621">
        <v>0.12015917974281992</v>
      </c>
      <c r="H137" s="576">
        <v>1493303.68</v>
      </c>
      <c r="I137" s="619"/>
      <c r="K137" s="619"/>
      <c r="L137" s="619"/>
      <c r="M137" s="619"/>
    </row>
    <row r="138" spans="1:13">
      <c r="A138" s="556" t="s">
        <v>213</v>
      </c>
      <c r="B138" s="585">
        <v>8998031342</v>
      </c>
      <c r="C138" s="576">
        <v>5407113392</v>
      </c>
      <c r="D138" s="576">
        <v>486570600</v>
      </c>
      <c r="E138" s="585">
        <v>5893683992</v>
      </c>
      <c r="F138" s="585">
        <v>14891715334</v>
      </c>
      <c r="G138" s="621">
        <v>0.39576931601316895</v>
      </c>
      <c r="H138" s="576">
        <v>38750972.247400001</v>
      </c>
      <c r="I138" s="619"/>
      <c r="K138" s="619"/>
      <c r="L138" s="619"/>
      <c r="M138" s="619"/>
    </row>
    <row r="139" spans="1:13" ht="12" customHeight="1">
      <c r="B139" s="588"/>
      <c r="C139" s="588"/>
      <c r="D139" s="588"/>
      <c r="E139" s="588"/>
      <c r="F139" s="588"/>
      <c r="G139" s="588"/>
      <c r="H139" s="588"/>
    </row>
    <row r="140" spans="1:13" ht="12.75" customHeight="1">
      <c r="A140" s="629" t="s">
        <v>34</v>
      </c>
      <c r="B140" s="595">
        <f>SUM(B8:B60,B62:B114,B116:B138)</f>
        <v>730186728384</v>
      </c>
      <c r="C140" s="595">
        <f>SUM(C8:C60,C62:C114,C116:C138)</f>
        <v>55891935611</v>
      </c>
      <c r="D140" s="595">
        <f>SUM(D8:D60,D62:D114,D116:D138)</f>
        <v>25016412211</v>
      </c>
      <c r="E140" s="595">
        <f>SUM(E8:E60,E62:E114,E116:E138)</f>
        <v>81088382222</v>
      </c>
      <c r="F140" s="595">
        <f>SUM(F8:F60,F62:F114,F116:F138)</f>
        <v>811275110606</v>
      </c>
      <c r="G140" s="630">
        <f>E140/F140</f>
        <v>9.9951768718048339E-2</v>
      </c>
      <c r="H140" s="595">
        <f>SUM(H8:H60,H62:H114,H116:H138)</f>
        <v>685450770.8654002</v>
      </c>
    </row>
    <row r="141" spans="1:13">
      <c r="A141" s="631"/>
      <c r="B141" s="632"/>
      <c r="C141" s="632"/>
      <c r="D141" s="632"/>
      <c r="E141" s="632"/>
      <c r="F141" s="632"/>
      <c r="G141" s="633"/>
      <c r="H141" s="632"/>
    </row>
    <row r="142" spans="1:13" ht="12.75" customHeight="1" thickBot="1">
      <c r="A142" s="634"/>
      <c r="B142" s="634"/>
      <c r="C142" s="634"/>
      <c r="D142" s="634"/>
      <c r="E142" s="634"/>
      <c r="F142" s="634"/>
      <c r="G142" s="634"/>
      <c r="H142" s="634"/>
    </row>
    <row r="143" spans="1:13" ht="14.25" customHeight="1">
      <c r="A143" s="618"/>
      <c r="B143" s="618"/>
      <c r="C143" s="618"/>
      <c r="D143" s="618"/>
      <c r="E143" s="618"/>
      <c r="F143" s="618" t="s">
        <v>937</v>
      </c>
      <c r="G143" s="618"/>
      <c r="H143" s="618" t="s">
        <v>951</v>
      </c>
    </row>
    <row r="144" spans="1:13" ht="12.75" customHeight="1">
      <c r="A144" s="566"/>
      <c r="B144" s="566" t="s">
        <v>952</v>
      </c>
      <c r="C144" s="1090" t="s">
        <v>953</v>
      </c>
      <c r="D144" s="1090"/>
      <c r="E144" s="1090"/>
      <c r="F144" s="566" t="s">
        <v>954</v>
      </c>
      <c r="G144" s="566" t="s">
        <v>955</v>
      </c>
      <c r="H144" s="566" t="s">
        <v>956</v>
      </c>
    </row>
    <row r="145" spans="1:13">
      <c r="A145" s="563" t="s">
        <v>35</v>
      </c>
      <c r="B145" s="563" t="s">
        <v>957</v>
      </c>
      <c r="C145" s="563" t="s">
        <v>958</v>
      </c>
      <c r="D145" s="563" t="s">
        <v>959</v>
      </c>
      <c r="E145" s="563" t="s">
        <v>960</v>
      </c>
      <c r="F145" s="563" t="s">
        <v>961</v>
      </c>
      <c r="G145" s="563" t="s">
        <v>937</v>
      </c>
      <c r="H145" s="563" t="s">
        <v>505</v>
      </c>
    </row>
    <row r="146" spans="1:13" ht="9" customHeight="1">
      <c r="A146" s="566"/>
      <c r="B146" s="566"/>
      <c r="C146" s="566"/>
      <c r="D146" s="566"/>
      <c r="E146" s="566"/>
      <c r="F146" s="566"/>
      <c r="G146" s="566"/>
      <c r="H146" s="566"/>
    </row>
    <row r="147" spans="1:13" ht="12" customHeight="1">
      <c r="A147" s="556" t="s">
        <v>218</v>
      </c>
      <c r="B147" s="588">
        <v>31620521950</v>
      </c>
      <c r="C147" s="588">
        <v>4284861751</v>
      </c>
      <c r="D147" s="588">
        <v>1133475264</v>
      </c>
      <c r="E147" s="588">
        <v>5418337015</v>
      </c>
      <c r="F147" s="588">
        <v>37038858965</v>
      </c>
      <c r="G147" s="635">
        <v>0.14628790320241983</v>
      </c>
      <c r="H147" s="588">
        <v>54075003.409700006</v>
      </c>
      <c r="I147" s="619"/>
      <c r="K147" s="619"/>
      <c r="L147" s="619"/>
      <c r="M147" s="619"/>
    </row>
    <row r="148" spans="1:13" ht="12" customHeight="1">
      <c r="A148" s="556" t="s">
        <v>117</v>
      </c>
      <c r="B148" s="576">
        <v>426408500</v>
      </c>
      <c r="C148" s="576">
        <v>72347800</v>
      </c>
      <c r="D148" s="576">
        <v>88658700</v>
      </c>
      <c r="E148" s="576">
        <v>161006500</v>
      </c>
      <c r="F148" s="576">
        <v>587415000</v>
      </c>
      <c r="G148" s="635">
        <v>0.27409327306929515</v>
      </c>
      <c r="H148" s="576">
        <v>1384655.9</v>
      </c>
      <c r="I148" s="619"/>
      <c r="K148" s="619"/>
      <c r="L148" s="619"/>
      <c r="M148" s="619"/>
    </row>
    <row r="149" spans="1:13" ht="12" customHeight="1">
      <c r="A149" s="556" t="s">
        <v>220</v>
      </c>
      <c r="B149" s="576">
        <v>1042533650</v>
      </c>
      <c r="C149" s="576">
        <v>99562100</v>
      </c>
      <c r="D149" s="576">
        <v>103725700</v>
      </c>
      <c r="E149" s="576">
        <v>203287800</v>
      </c>
      <c r="F149" s="576">
        <v>1245821450</v>
      </c>
      <c r="G149" s="635">
        <v>0.16317571029139047</v>
      </c>
      <c r="H149" s="576">
        <v>1910905.3199999998</v>
      </c>
      <c r="I149" s="619"/>
      <c r="K149" s="619"/>
      <c r="L149" s="619"/>
      <c r="M149" s="619"/>
    </row>
    <row r="150" spans="1:13" ht="12" customHeight="1">
      <c r="A150" s="556" t="s">
        <v>222</v>
      </c>
      <c r="B150" s="576">
        <v>398417380</v>
      </c>
      <c r="C150" s="576">
        <v>42039600</v>
      </c>
      <c r="D150" s="576">
        <v>79515700</v>
      </c>
      <c r="E150" s="576">
        <v>121555300</v>
      </c>
      <c r="F150" s="576">
        <v>519972680</v>
      </c>
      <c r="G150" s="635">
        <v>0.23377247435384491</v>
      </c>
      <c r="H150" s="576">
        <v>1130464.92</v>
      </c>
      <c r="I150" s="619"/>
      <c r="K150" s="619"/>
      <c r="L150" s="619"/>
      <c r="M150" s="619"/>
    </row>
    <row r="151" spans="1:13" ht="12" customHeight="1">
      <c r="A151" s="556" t="s">
        <v>224</v>
      </c>
      <c r="B151" s="576">
        <v>5222661300</v>
      </c>
      <c r="C151" s="576">
        <v>495883200</v>
      </c>
      <c r="D151" s="576">
        <v>520690100</v>
      </c>
      <c r="E151" s="576">
        <v>1016573300</v>
      </c>
      <c r="F151" s="576">
        <v>6239234600</v>
      </c>
      <c r="G151" s="635">
        <v>0.16293237314718059</v>
      </c>
      <c r="H151" s="576">
        <v>9657446.3499999996</v>
      </c>
      <c r="I151" s="619"/>
      <c r="K151" s="619"/>
      <c r="L151" s="619"/>
      <c r="M151" s="619"/>
    </row>
    <row r="152" spans="1:13" ht="9" customHeight="1">
      <c r="B152" s="576"/>
      <c r="C152" s="576"/>
      <c r="D152" s="576"/>
      <c r="E152" s="576"/>
      <c r="F152" s="576"/>
      <c r="G152" s="635"/>
      <c r="H152" s="576"/>
    </row>
    <row r="153" spans="1:13" ht="12" customHeight="1">
      <c r="A153" s="556" t="s">
        <v>169</v>
      </c>
      <c r="B153" s="576">
        <v>22818256324</v>
      </c>
      <c r="C153" s="576">
        <v>721544500</v>
      </c>
      <c r="D153" s="576">
        <v>1323175200</v>
      </c>
      <c r="E153" s="576">
        <v>2044719700</v>
      </c>
      <c r="F153" s="576">
        <v>24862976024</v>
      </c>
      <c r="G153" s="635">
        <v>8.223953954772957E-2</v>
      </c>
      <c r="H153" s="576">
        <v>21469556.850000001</v>
      </c>
      <c r="I153" s="619"/>
      <c r="K153" s="619"/>
      <c r="L153" s="619"/>
      <c r="M153" s="619"/>
    </row>
    <row r="154" spans="1:13" ht="12" customHeight="1">
      <c r="A154" s="556" t="s">
        <v>171</v>
      </c>
      <c r="B154" s="576">
        <v>1683049900</v>
      </c>
      <c r="C154" s="576">
        <v>50567400</v>
      </c>
      <c r="D154" s="576">
        <v>71015800</v>
      </c>
      <c r="E154" s="576">
        <v>121583200</v>
      </c>
      <c r="F154" s="576">
        <v>1804633100</v>
      </c>
      <c r="G154" s="635">
        <v>6.7372808356446531E-2</v>
      </c>
      <c r="H154" s="576">
        <v>1337415.2000000002</v>
      </c>
      <c r="I154" s="619"/>
      <c r="K154" s="619"/>
      <c r="L154" s="619"/>
      <c r="M154" s="619"/>
    </row>
    <row r="155" spans="1:13" ht="12" customHeight="1">
      <c r="A155" s="556" t="s">
        <v>173</v>
      </c>
      <c r="B155" s="576">
        <v>272475800</v>
      </c>
      <c r="C155" s="576">
        <v>49974283</v>
      </c>
      <c r="D155" s="576">
        <v>60976000</v>
      </c>
      <c r="E155" s="576">
        <v>110950283</v>
      </c>
      <c r="F155" s="576">
        <v>383426083</v>
      </c>
      <c r="G155" s="635">
        <v>0.28936550724954202</v>
      </c>
      <c r="H155" s="576">
        <v>765556.95270000002</v>
      </c>
      <c r="I155" s="619"/>
      <c r="K155" s="619"/>
      <c r="L155" s="619"/>
      <c r="M155" s="619"/>
    </row>
    <row r="156" spans="1:13" ht="12" customHeight="1">
      <c r="A156" s="556" t="s">
        <v>175</v>
      </c>
      <c r="B156" s="576">
        <v>2259211200</v>
      </c>
      <c r="C156" s="576">
        <v>305011900</v>
      </c>
      <c r="D156" s="576">
        <v>184107400</v>
      </c>
      <c r="E156" s="576">
        <v>489119300</v>
      </c>
      <c r="F156" s="576">
        <v>2748330500</v>
      </c>
      <c r="G156" s="635">
        <v>0.17796960736709067</v>
      </c>
      <c r="H156" s="576">
        <v>3570570.89</v>
      </c>
      <c r="I156" s="619"/>
      <c r="K156" s="619"/>
      <c r="L156" s="619"/>
      <c r="M156" s="619"/>
    </row>
    <row r="157" spans="1:13" ht="12" customHeight="1">
      <c r="A157" s="556" t="s">
        <v>177</v>
      </c>
      <c r="B157" s="576">
        <v>368722700</v>
      </c>
      <c r="C157" s="576">
        <v>34019800</v>
      </c>
      <c r="D157" s="576">
        <v>32733100</v>
      </c>
      <c r="E157" s="576">
        <v>66752900</v>
      </c>
      <c r="F157" s="576">
        <v>435475600</v>
      </c>
      <c r="G157" s="635">
        <v>0.15328734836119406</v>
      </c>
      <c r="H157" s="576">
        <v>540698.49</v>
      </c>
      <c r="I157" s="619"/>
      <c r="K157" s="619"/>
      <c r="L157" s="619"/>
      <c r="M157" s="619"/>
    </row>
    <row r="158" spans="1:13" ht="9" customHeight="1">
      <c r="B158" s="576"/>
      <c r="C158" s="576"/>
      <c r="D158" s="576"/>
      <c r="E158" s="576"/>
      <c r="F158" s="576"/>
      <c r="G158" s="635"/>
      <c r="H158" s="576"/>
    </row>
    <row r="159" spans="1:13" ht="12" customHeight="1">
      <c r="A159" s="556" t="s">
        <v>155</v>
      </c>
      <c r="B159" s="576">
        <v>5077394500</v>
      </c>
      <c r="C159" s="576">
        <v>168006500</v>
      </c>
      <c r="D159" s="576">
        <v>226549000</v>
      </c>
      <c r="E159" s="576">
        <v>394555500</v>
      </c>
      <c r="F159" s="576">
        <v>5471950000</v>
      </c>
      <c r="G159" s="635">
        <v>7.2105099644550849E-2</v>
      </c>
      <c r="H159" s="576">
        <v>3716712.81</v>
      </c>
      <c r="I159" s="619"/>
      <c r="K159" s="619"/>
      <c r="L159" s="619"/>
      <c r="M159" s="619"/>
    </row>
    <row r="160" spans="1:13" ht="12" customHeight="1">
      <c r="A160" s="556" t="s">
        <v>628</v>
      </c>
      <c r="B160" s="576">
        <v>3229692600</v>
      </c>
      <c r="C160" s="576">
        <v>92753700</v>
      </c>
      <c r="D160" s="576">
        <v>133500000</v>
      </c>
      <c r="E160" s="576">
        <v>226253700</v>
      </c>
      <c r="F160" s="576">
        <v>3455946300</v>
      </c>
      <c r="G160" s="635">
        <v>6.5467944336982317E-2</v>
      </c>
      <c r="H160" s="576">
        <v>2873421.99</v>
      </c>
      <c r="I160" s="619"/>
      <c r="K160" s="619"/>
      <c r="L160" s="619"/>
      <c r="M160" s="619"/>
    </row>
    <row r="161" spans="1:13" ht="12" customHeight="1">
      <c r="A161" s="556" t="s">
        <v>36</v>
      </c>
      <c r="B161" s="576">
        <v>636959100</v>
      </c>
      <c r="C161" s="576">
        <v>41881700</v>
      </c>
      <c r="D161" s="576">
        <v>68259300</v>
      </c>
      <c r="E161" s="576">
        <v>110141000</v>
      </c>
      <c r="F161" s="576">
        <v>747100100</v>
      </c>
      <c r="G161" s="635">
        <v>0.14742468914138815</v>
      </c>
      <c r="H161" s="576">
        <v>848085.7</v>
      </c>
      <c r="I161" s="619"/>
      <c r="K161" s="619"/>
      <c r="L161" s="619"/>
      <c r="M161" s="619"/>
    </row>
    <row r="162" spans="1:13" ht="12" customHeight="1">
      <c r="A162" s="556" t="s">
        <v>182</v>
      </c>
      <c r="B162" s="576">
        <v>3606739500</v>
      </c>
      <c r="C162" s="576">
        <v>513738800</v>
      </c>
      <c r="D162" s="576">
        <v>259075300</v>
      </c>
      <c r="E162" s="576">
        <v>772814100</v>
      </c>
      <c r="F162" s="576">
        <v>4379553600</v>
      </c>
      <c r="G162" s="635">
        <v>0.17645955971403113</v>
      </c>
      <c r="H162" s="576">
        <v>5564261.5199999996</v>
      </c>
      <c r="I162" s="619"/>
      <c r="K162" s="619"/>
      <c r="L162" s="619"/>
      <c r="M162" s="619"/>
    </row>
    <row r="163" spans="1:13" ht="12" customHeight="1">
      <c r="A163" s="556" t="s">
        <v>184</v>
      </c>
      <c r="B163" s="576">
        <v>443963100</v>
      </c>
      <c r="C163" s="576">
        <v>33188200</v>
      </c>
      <c r="D163" s="576">
        <v>41560200</v>
      </c>
      <c r="E163" s="576">
        <v>74748400</v>
      </c>
      <c r="F163" s="576">
        <v>518711500</v>
      </c>
      <c r="G163" s="635">
        <v>0.14410399615200356</v>
      </c>
      <c r="H163" s="576">
        <v>463440.07999999996</v>
      </c>
      <c r="I163" s="619"/>
      <c r="K163" s="619"/>
      <c r="L163" s="619"/>
      <c r="M163" s="619"/>
    </row>
    <row r="164" spans="1:13" ht="9" customHeight="1">
      <c r="B164" s="576"/>
      <c r="C164" s="576"/>
      <c r="D164" s="576"/>
      <c r="E164" s="576"/>
      <c r="F164" s="576"/>
      <c r="G164" s="635"/>
      <c r="H164" s="576"/>
    </row>
    <row r="165" spans="1:13" ht="12" customHeight="1">
      <c r="A165" s="556" t="s">
        <v>186</v>
      </c>
      <c r="B165" s="581">
        <v>11269036000</v>
      </c>
      <c r="C165" s="581">
        <v>2973158400</v>
      </c>
      <c r="D165" s="581">
        <v>462378200</v>
      </c>
      <c r="E165" s="581">
        <v>3435536600</v>
      </c>
      <c r="F165" s="581">
        <v>14704572600</v>
      </c>
      <c r="G165" s="984">
        <v>0.23363729728533558</v>
      </c>
      <c r="H165" s="581">
        <v>35729580.640000001</v>
      </c>
      <c r="I165" s="619"/>
      <c r="K165" s="619"/>
      <c r="L165" s="619"/>
      <c r="M165" s="619"/>
    </row>
    <row r="166" spans="1:13" ht="12" customHeight="1">
      <c r="A166" s="556" t="s">
        <v>941</v>
      </c>
      <c r="B166" s="576">
        <v>3995385300</v>
      </c>
      <c r="C166" s="576">
        <v>942155500</v>
      </c>
      <c r="D166" s="576">
        <v>263206200</v>
      </c>
      <c r="E166" s="576">
        <v>1205361700</v>
      </c>
      <c r="F166" s="576">
        <v>5200747000</v>
      </c>
      <c r="G166" s="635">
        <v>0.23176703269741827</v>
      </c>
      <c r="H166" s="576">
        <v>7111634.0299999993</v>
      </c>
      <c r="I166" s="619"/>
      <c r="K166" s="619"/>
      <c r="L166" s="619"/>
      <c r="M166" s="619"/>
    </row>
    <row r="167" spans="1:13" ht="12" customHeight="1">
      <c r="A167" s="556" t="s">
        <v>190</v>
      </c>
      <c r="B167" s="576">
        <v>1363521300</v>
      </c>
      <c r="C167" s="576">
        <v>156549700</v>
      </c>
      <c r="D167" s="576">
        <v>38312500</v>
      </c>
      <c r="E167" s="576">
        <v>194862200</v>
      </c>
      <c r="F167" s="576">
        <v>1558383500</v>
      </c>
      <c r="G167" s="635">
        <v>0.12504123664040334</v>
      </c>
      <c r="H167" s="576">
        <v>1987594.44</v>
      </c>
      <c r="I167" s="619"/>
      <c r="K167" s="619"/>
      <c r="L167" s="619"/>
      <c r="M167" s="619"/>
    </row>
    <row r="168" spans="1:13" ht="12" customHeight="1">
      <c r="A168" s="558" t="s">
        <v>942</v>
      </c>
      <c r="B168" s="576">
        <v>564475600</v>
      </c>
      <c r="C168" s="576">
        <v>297352000</v>
      </c>
      <c r="D168" s="576">
        <v>312566100</v>
      </c>
      <c r="E168" s="576">
        <v>609918100</v>
      </c>
      <c r="F168" s="591">
        <v>1174393700</v>
      </c>
      <c r="G168" s="628">
        <v>0.51934721720663179</v>
      </c>
      <c r="H168" s="576">
        <v>4452402.13</v>
      </c>
      <c r="I168" s="619"/>
      <c r="K168" s="619"/>
      <c r="L168" s="619"/>
      <c r="M168" s="619"/>
    </row>
    <row r="169" spans="1:13" ht="12" customHeight="1">
      <c r="A169" s="556" t="s">
        <v>194</v>
      </c>
      <c r="B169" s="576">
        <v>4957938100</v>
      </c>
      <c r="C169" s="576">
        <v>422854800</v>
      </c>
      <c r="D169" s="576">
        <v>921002200</v>
      </c>
      <c r="E169" s="576">
        <v>1343857000</v>
      </c>
      <c r="F169" s="591">
        <v>6301795100</v>
      </c>
      <c r="G169" s="628">
        <v>0.21324987224671904</v>
      </c>
      <c r="H169" s="576">
        <v>14110498.5</v>
      </c>
      <c r="I169" s="619"/>
      <c r="K169" s="619"/>
      <c r="L169" s="619"/>
      <c r="M169" s="619"/>
    </row>
    <row r="170" spans="1:13" ht="15">
      <c r="A170" s="555" t="s">
        <v>966</v>
      </c>
      <c r="B170" s="606"/>
      <c r="C170" s="606"/>
      <c r="D170" s="606"/>
      <c r="E170" s="606"/>
      <c r="F170" s="606"/>
      <c r="G170" s="606"/>
      <c r="H170" s="606"/>
    </row>
    <row r="171" spans="1:13" ht="12.75">
      <c r="A171" s="1082" t="s">
        <v>1069</v>
      </c>
      <c r="B171" s="1083"/>
      <c r="C171" s="1083"/>
      <c r="D171" s="1083"/>
      <c r="E171" s="1083"/>
      <c r="F171" s="1083"/>
      <c r="G171" s="1083"/>
      <c r="H171" s="1083"/>
    </row>
    <row r="172" spans="1:13" ht="12.75" thickBot="1">
      <c r="A172" s="562"/>
      <c r="B172" s="562"/>
      <c r="C172" s="562"/>
      <c r="D172" s="562"/>
      <c r="E172" s="562"/>
      <c r="F172" s="562"/>
      <c r="G172" s="562"/>
      <c r="H172" s="562"/>
    </row>
    <row r="173" spans="1:13" ht="14.25" customHeight="1">
      <c r="A173" s="618"/>
      <c r="B173" s="618"/>
      <c r="C173" s="618"/>
      <c r="D173" s="618"/>
      <c r="E173" s="618"/>
      <c r="F173" s="618" t="s">
        <v>937</v>
      </c>
      <c r="G173" s="618"/>
      <c r="H173" s="618" t="s">
        <v>951</v>
      </c>
    </row>
    <row r="174" spans="1:13">
      <c r="A174" s="566"/>
      <c r="B174" s="566" t="s">
        <v>952</v>
      </c>
      <c r="C174" s="1090" t="s">
        <v>953</v>
      </c>
      <c r="D174" s="1090"/>
      <c r="E174" s="1090"/>
      <c r="F174" s="566" t="s">
        <v>954</v>
      </c>
      <c r="G174" s="566" t="s">
        <v>955</v>
      </c>
      <c r="H174" s="566" t="s">
        <v>956</v>
      </c>
    </row>
    <row r="175" spans="1:13">
      <c r="A175" s="563" t="s">
        <v>35</v>
      </c>
      <c r="B175" s="563" t="s">
        <v>957</v>
      </c>
      <c r="C175" s="563" t="s">
        <v>958</v>
      </c>
      <c r="D175" s="563" t="s">
        <v>959</v>
      </c>
      <c r="E175" s="563" t="s">
        <v>960</v>
      </c>
      <c r="F175" s="563" t="s">
        <v>961</v>
      </c>
      <c r="G175" s="563" t="s">
        <v>937</v>
      </c>
      <c r="H175" s="563" t="s">
        <v>505</v>
      </c>
    </row>
    <row r="176" spans="1:13" ht="8.25" customHeight="1"/>
    <row r="177" spans="1:13" ht="12" customHeight="1">
      <c r="A177" s="556" t="s">
        <v>943</v>
      </c>
      <c r="B177" s="620">
        <v>3918499600</v>
      </c>
      <c r="C177" s="588">
        <v>588641500</v>
      </c>
      <c r="D177" s="588">
        <v>207253700</v>
      </c>
      <c r="E177" s="620">
        <v>795895200</v>
      </c>
      <c r="F177" s="620">
        <v>4714394800</v>
      </c>
      <c r="G177" s="621">
        <v>0.16882234809863611</v>
      </c>
      <c r="H177" s="588">
        <v>9757675.1519999988</v>
      </c>
      <c r="I177" s="619"/>
      <c r="K177" s="619"/>
      <c r="L177" s="619"/>
      <c r="M177" s="619"/>
    </row>
    <row r="178" spans="1:13" ht="12" customHeight="1">
      <c r="A178" s="556" t="s">
        <v>963</v>
      </c>
      <c r="B178" s="576">
        <v>1101109900</v>
      </c>
      <c r="C178" s="576">
        <v>135097000</v>
      </c>
      <c r="D178" s="576">
        <v>1745400</v>
      </c>
      <c r="E178" s="576">
        <v>136842400</v>
      </c>
      <c r="F178" s="576">
        <v>1237952300</v>
      </c>
      <c r="G178" s="635">
        <v>0.11053931561014103</v>
      </c>
      <c r="H178" s="576">
        <v>2257899.6</v>
      </c>
      <c r="I178" s="619"/>
      <c r="K178" s="619"/>
      <c r="L178" s="619"/>
      <c r="M178" s="619"/>
    </row>
    <row r="179" spans="1:13" ht="12" customHeight="1">
      <c r="A179" s="556" t="s">
        <v>200</v>
      </c>
      <c r="B179" s="576">
        <v>666674300</v>
      </c>
      <c r="C179" s="576">
        <v>45582000</v>
      </c>
      <c r="D179" s="576">
        <v>84918200</v>
      </c>
      <c r="E179" s="576">
        <v>130500200</v>
      </c>
      <c r="F179" s="576">
        <v>797174500</v>
      </c>
      <c r="G179" s="635">
        <v>0.16370343005201496</v>
      </c>
      <c r="H179" s="576">
        <v>1328700.83632</v>
      </c>
      <c r="I179" s="619"/>
      <c r="K179" s="619"/>
      <c r="L179" s="619"/>
      <c r="M179" s="619"/>
    </row>
    <row r="180" spans="1:13" ht="12" customHeight="1">
      <c r="A180" s="556" t="s">
        <v>202</v>
      </c>
      <c r="B180" s="576">
        <v>14727321869</v>
      </c>
      <c r="C180" s="576">
        <v>2861134800</v>
      </c>
      <c r="D180" s="576">
        <v>708110500</v>
      </c>
      <c r="E180" s="576">
        <v>3569245300</v>
      </c>
      <c r="F180" s="576">
        <v>18296567169</v>
      </c>
      <c r="G180" s="635">
        <v>0.19507732062697514</v>
      </c>
      <c r="H180" s="576">
        <v>39261698.300000004</v>
      </c>
      <c r="I180" s="619"/>
      <c r="K180" s="619"/>
      <c r="L180" s="619"/>
      <c r="M180" s="619"/>
    </row>
    <row r="181" spans="1:13" ht="12" customHeight="1">
      <c r="A181" s="556" t="s">
        <v>204</v>
      </c>
      <c r="B181" s="576">
        <v>17837073600</v>
      </c>
      <c r="C181" s="576">
        <v>9034424000</v>
      </c>
      <c r="D181" s="576">
        <v>1349139200</v>
      </c>
      <c r="E181" s="576">
        <v>10383563200</v>
      </c>
      <c r="F181" s="576">
        <v>28220636800</v>
      </c>
      <c r="G181" s="635">
        <v>0.36794220036877412</v>
      </c>
      <c r="H181" s="576">
        <v>115257551.52000001</v>
      </c>
      <c r="I181" s="619"/>
      <c r="K181" s="619"/>
      <c r="L181" s="619"/>
      <c r="M181" s="619"/>
    </row>
    <row r="182" spans="1:13" ht="9" customHeight="1">
      <c r="B182" s="576"/>
      <c r="C182" s="576"/>
      <c r="D182" s="576"/>
      <c r="E182" s="576"/>
      <c r="F182" s="576"/>
      <c r="G182" s="635"/>
      <c r="H182" s="576"/>
    </row>
    <row r="183" spans="1:13" ht="12" customHeight="1">
      <c r="A183" s="556" t="s">
        <v>944</v>
      </c>
      <c r="B183" s="576">
        <v>203125345</v>
      </c>
      <c r="C183" s="576">
        <v>33589300</v>
      </c>
      <c r="D183" s="576">
        <v>23528100</v>
      </c>
      <c r="E183" s="576">
        <v>57117400</v>
      </c>
      <c r="F183" s="576">
        <v>260242745</v>
      </c>
      <c r="G183" s="635">
        <v>0.21947739599810939</v>
      </c>
      <c r="H183" s="576">
        <v>456938.8</v>
      </c>
      <c r="I183" s="619"/>
      <c r="K183" s="619"/>
      <c r="L183" s="619"/>
      <c r="M183" s="619"/>
    </row>
    <row r="184" spans="1:13" ht="12" customHeight="1">
      <c r="A184" s="556" t="s">
        <v>208</v>
      </c>
      <c r="B184" s="576">
        <v>1813516700</v>
      </c>
      <c r="C184" s="576">
        <v>165768100</v>
      </c>
      <c r="D184" s="576">
        <v>172371200</v>
      </c>
      <c r="E184" s="576">
        <v>338139300</v>
      </c>
      <c r="F184" s="576">
        <v>2151656000</v>
      </c>
      <c r="G184" s="635">
        <v>0.1571530486285912</v>
      </c>
      <c r="H184" s="576">
        <v>4564880.5500000007</v>
      </c>
      <c r="I184" s="619"/>
      <c r="K184" s="619"/>
      <c r="L184" s="619"/>
      <c r="M184" s="619"/>
    </row>
    <row r="185" spans="1:13" ht="12" customHeight="1">
      <c r="A185" s="556" t="s">
        <v>945</v>
      </c>
      <c r="B185" s="576">
        <v>1498862620</v>
      </c>
      <c r="C185" s="576">
        <v>31903730</v>
      </c>
      <c r="D185" s="576">
        <v>73628900</v>
      </c>
      <c r="E185" s="576">
        <v>105532630</v>
      </c>
      <c r="F185" s="576">
        <v>1604395250</v>
      </c>
      <c r="G185" s="635">
        <v>6.5777201721333944E-2</v>
      </c>
      <c r="H185" s="576">
        <v>970900.196</v>
      </c>
      <c r="I185" s="619"/>
      <c r="K185" s="619"/>
      <c r="L185" s="619"/>
      <c r="M185" s="619"/>
    </row>
    <row r="186" spans="1:13" ht="12" customHeight="1">
      <c r="A186" s="556" t="s">
        <v>212</v>
      </c>
      <c r="B186" s="576">
        <v>6992862120</v>
      </c>
      <c r="C186" s="576">
        <v>4943890062</v>
      </c>
      <c r="D186" s="576">
        <v>558069670</v>
      </c>
      <c r="E186" s="576">
        <v>5501959732</v>
      </c>
      <c r="F186" s="576">
        <v>12494821852</v>
      </c>
      <c r="G186" s="635">
        <v>0.44033918987963172</v>
      </c>
      <c r="H186" s="576">
        <v>69874888.596399993</v>
      </c>
      <c r="I186" s="619"/>
      <c r="K186" s="619"/>
      <c r="L186" s="619"/>
      <c r="M186" s="619"/>
    </row>
    <row r="187" spans="1:13" ht="12" customHeight="1">
      <c r="A187" s="556" t="s">
        <v>214</v>
      </c>
      <c r="B187" s="576">
        <v>796986500</v>
      </c>
      <c r="C187" s="576">
        <v>256390300</v>
      </c>
      <c r="D187" s="576">
        <v>26353000</v>
      </c>
      <c r="E187" s="576">
        <v>282743300</v>
      </c>
      <c r="F187" s="576">
        <v>1079729800</v>
      </c>
      <c r="G187" s="635">
        <v>0.26186486656198615</v>
      </c>
      <c r="H187" s="576">
        <v>2148849.08</v>
      </c>
      <c r="I187" s="619"/>
      <c r="K187" s="619"/>
      <c r="L187" s="619"/>
      <c r="M187" s="619"/>
    </row>
    <row r="188" spans="1:13" ht="11.25" customHeight="1">
      <c r="B188" s="576"/>
      <c r="C188" s="576"/>
      <c r="D188" s="576"/>
      <c r="E188" s="576"/>
      <c r="F188" s="576"/>
      <c r="G188" s="635"/>
      <c r="H188" s="576"/>
    </row>
    <row r="189" spans="1:13" ht="12" customHeight="1">
      <c r="A189" s="556" t="s">
        <v>178</v>
      </c>
      <c r="B189" s="576">
        <v>20414276000</v>
      </c>
      <c r="C189" s="576">
        <v>4661292000</v>
      </c>
      <c r="D189" s="576">
        <v>1315932000</v>
      </c>
      <c r="E189" s="576">
        <v>5977224000</v>
      </c>
      <c r="F189" s="576">
        <v>26391500000</v>
      </c>
      <c r="G189" s="635">
        <v>0.22648292063732642</v>
      </c>
      <c r="H189" s="576">
        <v>71726688</v>
      </c>
      <c r="I189" s="619"/>
      <c r="K189" s="619"/>
      <c r="L189" s="619"/>
      <c r="M189" s="619"/>
    </row>
    <row r="190" spans="1:13" ht="12" customHeight="1">
      <c r="A190" s="556" t="s">
        <v>37</v>
      </c>
      <c r="B190" s="576">
        <v>6960246100</v>
      </c>
      <c r="C190" s="576">
        <v>1438515600</v>
      </c>
      <c r="D190" s="576">
        <v>483408300</v>
      </c>
      <c r="E190" s="576">
        <v>1921923900</v>
      </c>
      <c r="F190" s="576">
        <v>8882170000</v>
      </c>
      <c r="G190" s="635">
        <v>0.21637999497870453</v>
      </c>
      <c r="H190" s="576">
        <v>22870894.810000002</v>
      </c>
      <c r="I190" s="619"/>
      <c r="K190" s="619"/>
      <c r="L190" s="619"/>
      <c r="M190" s="619"/>
    </row>
    <row r="191" spans="1:13" ht="12" customHeight="1">
      <c r="A191" s="556" t="s">
        <v>215</v>
      </c>
      <c r="B191" s="576">
        <v>1976094600</v>
      </c>
      <c r="C191" s="576">
        <v>248613700</v>
      </c>
      <c r="D191" s="576">
        <v>217052500</v>
      </c>
      <c r="E191" s="576">
        <v>465666200</v>
      </c>
      <c r="F191" s="576">
        <v>2441760800</v>
      </c>
      <c r="G191" s="635">
        <v>0.1907091800310661</v>
      </c>
      <c r="H191" s="576">
        <v>5399647.4299999997</v>
      </c>
      <c r="I191" s="619"/>
      <c r="K191" s="619"/>
      <c r="L191" s="619"/>
      <c r="M191" s="619"/>
    </row>
    <row r="192" spans="1:13" ht="12" customHeight="1">
      <c r="A192" s="556" t="s">
        <v>216</v>
      </c>
      <c r="B192" s="576">
        <v>1840977989</v>
      </c>
      <c r="C192" s="576">
        <v>123769545</v>
      </c>
      <c r="D192" s="576">
        <v>145206616</v>
      </c>
      <c r="E192" s="576">
        <v>268976161</v>
      </c>
      <c r="F192" s="576">
        <v>2109954150</v>
      </c>
      <c r="G192" s="635">
        <v>0.12747962366859963</v>
      </c>
      <c r="H192" s="576">
        <v>2420785.449</v>
      </c>
      <c r="I192" s="619"/>
      <c r="K192" s="619"/>
      <c r="L192" s="619"/>
      <c r="M192" s="619"/>
    </row>
    <row r="193" spans="1:13" ht="12" customHeight="1">
      <c r="A193" s="556" t="s">
        <v>217</v>
      </c>
      <c r="B193" s="576">
        <v>9371181700</v>
      </c>
      <c r="C193" s="576">
        <v>690883300</v>
      </c>
      <c r="D193" s="576">
        <v>299856500</v>
      </c>
      <c r="E193" s="576">
        <v>990739800</v>
      </c>
      <c r="F193" s="576">
        <v>10361921500</v>
      </c>
      <c r="G193" s="635">
        <v>9.5613521102239585E-2</v>
      </c>
      <c r="H193" s="576">
        <v>10070005</v>
      </c>
      <c r="I193" s="619"/>
      <c r="K193" s="619"/>
      <c r="L193" s="619"/>
      <c r="M193" s="619"/>
    </row>
    <row r="194" spans="1:13" ht="9" customHeight="1">
      <c r="B194" s="576"/>
      <c r="C194" s="576"/>
      <c r="D194" s="576"/>
      <c r="E194" s="576"/>
      <c r="F194" s="576"/>
      <c r="G194" s="635"/>
      <c r="H194" s="576"/>
    </row>
    <row r="195" spans="1:13">
      <c r="A195" s="556" t="s">
        <v>801</v>
      </c>
      <c r="B195" s="576">
        <v>50884944574</v>
      </c>
      <c r="C195" s="576">
        <v>5551861977</v>
      </c>
      <c r="D195" s="576">
        <v>1428060200</v>
      </c>
      <c r="E195" s="576">
        <v>6979922177</v>
      </c>
      <c r="F195" s="576">
        <v>57864866751</v>
      </c>
      <c r="G195" s="635">
        <v>0.12062452691778427</v>
      </c>
      <c r="H195" s="576">
        <v>62121307.375300005</v>
      </c>
      <c r="I195" s="619"/>
      <c r="K195" s="619"/>
      <c r="L195" s="619"/>
      <c r="M195" s="619"/>
    </row>
    <row r="196" spans="1:13">
      <c r="A196" s="556" t="s">
        <v>219</v>
      </c>
      <c r="B196" s="576">
        <v>1760010100</v>
      </c>
      <c r="C196" s="576">
        <v>121074000</v>
      </c>
      <c r="D196" s="576">
        <v>197548400</v>
      </c>
      <c r="E196" s="576">
        <v>318622400</v>
      </c>
      <c r="F196" s="576">
        <v>2078632500</v>
      </c>
      <c r="G196" s="635">
        <v>0.15328462342429458</v>
      </c>
      <c r="H196" s="576">
        <v>2389668</v>
      </c>
      <c r="I196" s="619"/>
      <c r="K196" s="619"/>
      <c r="L196" s="619"/>
      <c r="M196" s="619"/>
    </row>
    <row r="197" spans="1:13">
      <c r="A197" s="556" t="s">
        <v>946</v>
      </c>
      <c r="B197" s="576">
        <v>1736157600</v>
      </c>
      <c r="C197" s="576">
        <v>92598000</v>
      </c>
      <c r="D197" s="576">
        <v>669123900</v>
      </c>
      <c r="E197" s="576">
        <v>761721900</v>
      </c>
      <c r="F197" s="576">
        <v>2497879500</v>
      </c>
      <c r="G197" s="635">
        <v>0.3049474163985893</v>
      </c>
      <c r="H197" s="576">
        <v>4113298.2600000002</v>
      </c>
      <c r="I197" s="619"/>
      <c r="K197" s="619"/>
      <c r="L197" s="619"/>
      <c r="M197" s="619"/>
    </row>
    <row r="198" spans="1:13">
      <c r="A198" s="556" t="s">
        <v>223</v>
      </c>
      <c r="B198" s="576">
        <v>2748884200</v>
      </c>
      <c r="C198" s="576">
        <v>122573800</v>
      </c>
      <c r="D198" s="576">
        <v>622875800</v>
      </c>
      <c r="E198" s="576">
        <v>745449600</v>
      </c>
      <c r="F198" s="576">
        <v>3494333800</v>
      </c>
      <c r="G198" s="635">
        <v>0.21333096454608888</v>
      </c>
      <c r="H198" s="576">
        <v>6410866.5599999996</v>
      </c>
      <c r="I198" s="619"/>
      <c r="K198" s="619"/>
      <c r="L198" s="619"/>
      <c r="M198" s="619"/>
    </row>
    <row r="199" spans="1:13" ht="12" customHeight="1">
      <c r="E199" s="576"/>
      <c r="G199" s="635"/>
    </row>
    <row r="200" spans="1:13" ht="12.75" customHeight="1">
      <c r="A200" s="595" t="s">
        <v>39</v>
      </c>
      <c r="B200" s="595">
        <f>SUM(B147:B168,B169:B198)</f>
        <v>248506169221</v>
      </c>
      <c r="C200" s="595">
        <f>SUM(C147:C168,C169:C198)</f>
        <v>42945054348</v>
      </c>
      <c r="D200" s="595">
        <f>SUM(D147:D168,D169:D198)</f>
        <v>14908664050</v>
      </c>
      <c r="E200" s="595">
        <f>SUM(E147:E168,E169:E198)</f>
        <v>57853718398</v>
      </c>
      <c r="F200" s="595">
        <f>SUM(F147:F168,F169:F198)</f>
        <v>306359887619</v>
      </c>
      <c r="G200" s="630">
        <f t="shared" ref="G200:G201" si="0">E200/F200</f>
        <v>0.18884234110292183</v>
      </c>
      <c r="H200" s="595">
        <f>SUM(H147:H168,H169:H198)</f>
        <v>606103049.63741994</v>
      </c>
    </row>
    <row r="201" spans="1:13" ht="12.75" customHeight="1">
      <c r="A201" s="595" t="s">
        <v>34</v>
      </c>
      <c r="B201" s="595">
        <f t="shared" ref="B201:H201" si="1">B140</f>
        <v>730186728384</v>
      </c>
      <c r="C201" s="595">
        <f t="shared" si="1"/>
        <v>55891935611</v>
      </c>
      <c r="D201" s="595">
        <f t="shared" si="1"/>
        <v>25016412211</v>
      </c>
      <c r="E201" s="595">
        <f t="shared" si="1"/>
        <v>81088382222</v>
      </c>
      <c r="F201" s="595">
        <f t="shared" si="1"/>
        <v>811275110606</v>
      </c>
      <c r="G201" s="630">
        <f t="shared" si="0"/>
        <v>9.9951768718048339E-2</v>
      </c>
      <c r="H201" s="595">
        <f t="shared" si="1"/>
        <v>685450770.8654002</v>
      </c>
    </row>
    <row r="202" spans="1:13">
      <c r="A202" s="636"/>
      <c r="B202" s="636"/>
      <c r="C202" s="636"/>
      <c r="D202" s="636"/>
      <c r="E202" s="636"/>
      <c r="F202" s="636"/>
      <c r="G202" s="636"/>
      <c r="H202" s="636"/>
    </row>
    <row r="203" spans="1:13" ht="12.75" customHeight="1">
      <c r="A203" s="595" t="s">
        <v>40</v>
      </c>
      <c r="B203" s="595">
        <f>SUM(B200:B201)</f>
        <v>978692897605</v>
      </c>
      <c r="C203" s="595">
        <f>SUM(C200:C201)</f>
        <v>98836989959</v>
      </c>
      <c r="D203" s="595">
        <f>SUM(D200:D201)</f>
        <v>39925076261</v>
      </c>
      <c r="E203" s="595">
        <f>SUM(E200:E201)</f>
        <v>138942100620</v>
      </c>
      <c r="F203" s="595">
        <f>SUM(F200:F201)</f>
        <v>1117634998225</v>
      </c>
      <c r="G203" s="630">
        <f t="shared" ref="G203" si="2">E203/F203</f>
        <v>0.12431795786698195</v>
      </c>
      <c r="H203" s="595">
        <f>SUM(H200:H201)</f>
        <v>1291553820.50282</v>
      </c>
    </row>
    <row r="204" spans="1:13">
      <c r="A204" s="600"/>
      <c r="B204" s="600"/>
      <c r="C204" s="636"/>
      <c r="D204" s="636"/>
      <c r="E204" s="600"/>
      <c r="F204" s="600"/>
      <c r="G204" s="637"/>
      <c r="H204" s="600"/>
    </row>
    <row r="205" spans="1:13">
      <c r="A205" s="600"/>
      <c r="B205" s="600"/>
      <c r="C205" s="600"/>
      <c r="D205" s="600"/>
      <c r="E205" s="600"/>
      <c r="F205" s="600"/>
      <c r="G205" s="637"/>
      <c r="H205" s="600"/>
    </row>
    <row r="206" spans="1:13">
      <c r="A206" s="556" t="s">
        <v>2</v>
      </c>
    </row>
    <row r="207" spans="1:13">
      <c r="A207" s="556" t="s">
        <v>947</v>
      </c>
    </row>
    <row r="208" spans="1:13">
      <c r="A208" s="556" t="s">
        <v>964</v>
      </c>
    </row>
    <row r="217" ht="7.5" customHeight="1"/>
  </sheetData>
  <mergeCells count="11">
    <mergeCell ref="C174:E174"/>
    <mergeCell ref="C89:E89"/>
    <mergeCell ref="A128:H128"/>
    <mergeCell ref="C131:E131"/>
    <mergeCell ref="C144:E144"/>
    <mergeCell ref="A171:H171"/>
    <mergeCell ref="A2:H2"/>
    <mergeCell ref="C5:E5"/>
    <mergeCell ref="A44:H44"/>
    <mergeCell ref="C47:E47"/>
    <mergeCell ref="A86:H86"/>
  </mergeCells>
  <conditionalFormatting sqref="I1:M1048576">
    <cfRule type="cellIs" dxfId="1" priority="1" stopIfTrue="1" operator="greaterThan">
      <formula>0.35</formula>
    </cfRule>
  </conditionalFormatting>
  <printOptions horizontalCentered="1"/>
  <pageMargins left="0.25" right="0.25" top="0.7" bottom="0.75" header="0.25" footer="0.4"/>
  <pageSetup fitToHeight="5" orientation="landscape" r:id="rId1"/>
  <headerFooter alignWithMargins="0"/>
  <rowBreaks count="4" manualBreakCount="4">
    <brk id="42" max="7" man="1"/>
    <brk id="84" max="7" man="1"/>
    <brk id="126" max="7" man="1"/>
    <brk id="169" max="7" man="1"/>
  </rowBreaks>
  <ignoredErrors>
    <ignoredError sqref="G202 G200:G201 G203 G140" formula="1"/>
  </ignoredErrors>
</worksheet>
</file>

<file path=xl/worksheets/sheet29.xml><?xml version="1.0" encoding="utf-8"?>
<worksheet xmlns="http://schemas.openxmlformats.org/spreadsheetml/2006/main" xmlns:r="http://schemas.openxmlformats.org/officeDocument/2006/relationships">
  <sheetPr codeName="Sheet30"/>
  <dimension ref="A1:X219"/>
  <sheetViews>
    <sheetView zoomScale="90" zoomScaleNormal="90" workbookViewId="0">
      <selection activeCell="B19" sqref="B19"/>
    </sheetView>
  </sheetViews>
  <sheetFormatPr defaultColWidth="10.85546875" defaultRowHeight="12"/>
  <cols>
    <col min="1" max="1" width="17.28515625" style="556" customWidth="1"/>
    <col min="2" max="2" width="18" style="576" bestFit="1" customWidth="1"/>
    <col min="3" max="3" width="0.85546875" style="556" customWidth="1"/>
    <col min="4" max="4" width="17.28515625" style="576" bestFit="1" customWidth="1"/>
    <col min="5" max="5" width="1.5703125" style="556" customWidth="1"/>
    <col min="6" max="6" width="14.42578125" style="576" customWidth="1"/>
    <col min="7" max="7" width="0.85546875" style="556" customWidth="1"/>
    <col min="8" max="8" width="12" style="576" customWidth="1"/>
    <col min="9" max="9" width="1.5703125" style="556" customWidth="1"/>
    <col min="10" max="10" width="13.42578125" style="576" customWidth="1"/>
    <col min="11" max="11" width="0.85546875" style="556" customWidth="1"/>
    <col min="12" max="12" width="11" style="576" customWidth="1"/>
    <col min="13" max="13" width="1.5703125" style="556" customWidth="1"/>
    <col min="14" max="14" width="14.42578125" style="576" customWidth="1"/>
    <col min="15" max="15" width="0.85546875" style="556" customWidth="1"/>
    <col min="16" max="16" width="12" style="576" customWidth="1"/>
    <col min="17" max="18" width="7.140625" style="619" customWidth="1"/>
    <col min="19" max="22" width="7.85546875" style="619" bestFit="1" customWidth="1"/>
    <col min="23" max="24" width="7.140625" style="619" customWidth="1"/>
    <col min="25" max="16384" width="10.85546875" style="556"/>
  </cols>
  <sheetData>
    <row r="1" spans="1:24" s="606" customFormat="1" ht="15">
      <c r="A1" s="638" t="s">
        <v>998</v>
      </c>
      <c r="B1" s="639"/>
      <c r="D1" s="639"/>
      <c r="F1" s="639"/>
      <c r="H1" s="639"/>
      <c r="J1" s="639"/>
      <c r="L1" s="639"/>
      <c r="N1" s="639"/>
      <c r="P1" s="639"/>
      <c r="Q1" s="615"/>
      <c r="R1" s="615"/>
      <c r="S1" s="615"/>
      <c r="T1" s="615"/>
      <c r="U1" s="615"/>
      <c r="V1" s="615"/>
      <c r="W1" s="615"/>
      <c r="X1" s="615"/>
    </row>
    <row r="2" spans="1:24" s="606" customFormat="1" ht="12.75">
      <c r="A2" s="640" t="s">
        <v>967</v>
      </c>
      <c r="B2" s="641"/>
      <c r="C2" s="641"/>
      <c r="D2" s="641"/>
      <c r="E2" s="641"/>
      <c r="F2" s="641"/>
      <c r="G2" s="641"/>
      <c r="H2" s="641"/>
      <c r="I2" s="641"/>
      <c r="J2" s="641"/>
      <c r="K2" s="641"/>
      <c r="L2" s="641"/>
      <c r="M2" s="641"/>
      <c r="N2" s="641"/>
      <c r="O2" s="641"/>
      <c r="P2" s="641"/>
      <c r="Q2" s="642"/>
      <c r="R2" s="642"/>
      <c r="S2" s="642"/>
      <c r="T2" s="642"/>
      <c r="U2" s="642"/>
      <c r="V2" s="642"/>
      <c r="W2" s="642"/>
      <c r="X2" s="642"/>
    </row>
    <row r="3" spans="1:24" ht="12.75">
      <c r="A3" s="850" t="s">
        <v>1070</v>
      </c>
      <c r="B3" s="561"/>
      <c r="C3" s="561"/>
      <c r="D3" s="561"/>
      <c r="E3" s="561"/>
      <c r="F3" s="561"/>
      <c r="G3" s="561"/>
      <c r="H3" s="561"/>
      <c r="I3" s="561"/>
      <c r="J3" s="561"/>
      <c r="K3" s="561"/>
      <c r="L3" s="561"/>
      <c r="M3" s="561"/>
      <c r="N3" s="561"/>
      <c r="O3" s="561"/>
      <c r="P3" s="561"/>
      <c r="Q3" s="643"/>
      <c r="R3" s="643"/>
      <c r="S3" s="643"/>
      <c r="T3" s="643"/>
      <c r="U3" s="643"/>
      <c r="V3" s="643"/>
      <c r="W3" s="643"/>
      <c r="X3" s="643"/>
    </row>
    <row r="4" spans="1:24" ht="11.25" customHeight="1" thickBot="1">
      <c r="A4" s="562"/>
      <c r="B4" s="562"/>
      <c r="C4" s="562"/>
      <c r="D4" s="562"/>
      <c r="E4" s="562"/>
      <c r="F4" s="562"/>
      <c r="G4" s="562"/>
      <c r="H4" s="562"/>
      <c r="I4" s="562"/>
      <c r="J4" s="562"/>
      <c r="K4" s="562"/>
      <c r="L4" s="562"/>
      <c r="M4" s="562"/>
      <c r="N4" s="562"/>
      <c r="O4" s="562"/>
      <c r="P4" s="562"/>
      <c r="Q4" s="643"/>
      <c r="R4" s="643"/>
      <c r="S4" s="643"/>
      <c r="T4" s="643"/>
      <c r="U4" s="643"/>
      <c r="V4" s="643"/>
      <c r="W4" s="643"/>
      <c r="X4" s="643"/>
    </row>
    <row r="5" spans="1:24" ht="14.25" customHeight="1">
      <c r="A5" s="606"/>
      <c r="B5" s="1091" t="s">
        <v>968</v>
      </c>
      <c r="C5" s="1091"/>
      <c r="D5" s="1091"/>
      <c r="E5" s="606"/>
      <c r="F5" s="1091" t="s">
        <v>969</v>
      </c>
      <c r="G5" s="1091"/>
      <c r="H5" s="1091"/>
      <c r="I5" s="606"/>
      <c r="J5" s="1091" t="s">
        <v>970</v>
      </c>
      <c r="K5" s="1091"/>
      <c r="L5" s="1091"/>
      <c r="M5" s="606"/>
      <c r="N5" s="1091" t="s">
        <v>971</v>
      </c>
      <c r="O5" s="1091"/>
      <c r="P5" s="1091"/>
      <c r="Q5" s="644"/>
      <c r="R5" s="644"/>
      <c r="S5" s="644"/>
      <c r="T5" s="644"/>
      <c r="U5" s="644"/>
      <c r="V5" s="644"/>
      <c r="W5" s="644"/>
      <c r="X5" s="644"/>
    </row>
    <row r="6" spans="1:24" ht="12" customHeight="1">
      <c r="A6" s="645" t="s">
        <v>33</v>
      </c>
      <c r="B6" s="646" t="s">
        <v>972</v>
      </c>
      <c r="C6" s="645"/>
      <c r="D6" s="646" t="s">
        <v>973</v>
      </c>
      <c r="E6" s="563"/>
      <c r="F6" s="646" t="s">
        <v>972</v>
      </c>
      <c r="G6" s="563"/>
      <c r="H6" s="646" t="s">
        <v>973</v>
      </c>
      <c r="I6" s="563"/>
      <c r="J6" s="646" t="s">
        <v>972</v>
      </c>
      <c r="K6" s="563"/>
      <c r="L6" s="646" t="s">
        <v>973</v>
      </c>
      <c r="M6" s="563"/>
      <c r="N6" s="646" t="s">
        <v>972</v>
      </c>
      <c r="O6" s="563"/>
      <c r="P6" s="646" t="s">
        <v>973</v>
      </c>
      <c r="Q6" s="647"/>
      <c r="R6" s="647"/>
      <c r="S6" s="647"/>
      <c r="T6" s="647"/>
      <c r="U6" s="647"/>
      <c r="V6" s="647"/>
      <c r="W6" s="647"/>
      <c r="X6" s="647"/>
    </row>
    <row r="7" spans="1:24" ht="8.25" customHeight="1"/>
    <row r="8" spans="1:24" ht="12" customHeight="1">
      <c r="A8" s="556" t="s">
        <v>522</v>
      </c>
      <c r="B8" s="648">
        <v>373281500</v>
      </c>
      <c r="C8" s="649"/>
      <c r="D8" s="648">
        <v>11631473</v>
      </c>
      <c r="E8" s="649"/>
      <c r="F8" s="648">
        <v>19421342</v>
      </c>
      <c r="G8" s="649"/>
      <c r="H8" s="648">
        <v>724367.44</v>
      </c>
      <c r="I8" s="649"/>
      <c r="J8" s="648">
        <v>0</v>
      </c>
      <c r="K8" s="649"/>
      <c r="L8" s="648">
        <v>0</v>
      </c>
      <c r="M8" s="649"/>
      <c r="N8" s="648">
        <v>315339012</v>
      </c>
      <c r="O8" s="649"/>
      <c r="P8" s="650">
        <v>1504980.67</v>
      </c>
      <c r="Q8" s="651"/>
      <c r="R8" s="651"/>
      <c r="S8" s="651"/>
      <c r="T8" s="651"/>
      <c r="U8" s="651"/>
      <c r="V8" s="651"/>
      <c r="W8" s="651"/>
      <c r="X8" s="651"/>
    </row>
    <row r="9" spans="1:24" ht="12" customHeight="1">
      <c r="A9" s="556" t="s">
        <v>101</v>
      </c>
      <c r="B9" s="652">
        <v>882825526.18000007</v>
      </c>
      <c r="C9" s="653"/>
      <c r="D9" s="652">
        <v>37446457.210000001</v>
      </c>
      <c r="E9" s="653"/>
      <c r="F9" s="652">
        <v>14179734.810000001</v>
      </c>
      <c r="G9" s="653"/>
      <c r="H9" s="652">
        <v>606892.65</v>
      </c>
      <c r="I9" s="653"/>
      <c r="J9" s="652">
        <v>0</v>
      </c>
      <c r="K9" s="653"/>
      <c r="L9" s="652">
        <v>0</v>
      </c>
      <c r="M9" s="653"/>
      <c r="N9" s="652">
        <v>306473940.14999998</v>
      </c>
      <c r="O9" s="653"/>
      <c r="P9" s="654">
        <v>2283120.98</v>
      </c>
      <c r="Q9" s="651"/>
      <c r="R9" s="651"/>
      <c r="S9" s="651"/>
      <c r="T9" s="651"/>
      <c r="U9" s="651"/>
      <c r="V9" s="651"/>
      <c r="W9" s="651"/>
      <c r="X9" s="651"/>
    </row>
    <row r="10" spans="1:24" ht="12" customHeight="1">
      <c r="A10" s="556" t="s">
        <v>103</v>
      </c>
      <c r="B10" s="652">
        <v>63258820</v>
      </c>
      <c r="C10" s="653"/>
      <c r="D10" s="652">
        <v>3538491.8699999996</v>
      </c>
      <c r="E10" s="653"/>
      <c r="F10" s="652">
        <v>107470134</v>
      </c>
      <c r="G10" s="653"/>
      <c r="H10" s="652">
        <v>6394473.0499999998</v>
      </c>
      <c r="I10" s="653"/>
      <c r="J10" s="652">
        <v>0</v>
      </c>
      <c r="K10" s="653"/>
      <c r="L10" s="652">
        <v>0</v>
      </c>
      <c r="M10" s="653"/>
      <c r="N10" s="652">
        <v>109199301</v>
      </c>
      <c r="O10" s="653"/>
      <c r="P10" s="654">
        <v>705205.46</v>
      </c>
      <c r="Q10" s="651"/>
      <c r="R10" s="651"/>
      <c r="S10" s="651"/>
      <c r="T10" s="651"/>
      <c r="U10" s="651"/>
      <c r="V10" s="651"/>
      <c r="W10" s="651"/>
      <c r="X10" s="651"/>
    </row>
    <row r="11" spans="1:24" ht="12" customHeight="1">
      <c r="A11" s="556" t="s">
        <v>105</v>
      </c>
      <c r="B11" s="652">
        <v>76705451</v>
      </c>
      <c r="C11" s="653"/>
      <c r="D11" s="652">
        <v>2873142.6</v>
      </c>
      <c r="E11" s="653"/>
      <c r="F11" s="652">
        <v>3527050</v>
      </c>
      <c r="G11" s="653"/>
      <c r="H11" s="652">
        <v>35270.5</v>
      </c>
      <c r="I11" s="653"/>
      <c r="J11" s="652">
        <v>0</v>
      </c>
      <c r="K11" s="653"/>
      <c r="L11" s="652">
        <v>0</v>
      </c>
      <c r="M11" s="653"/>
      <c r="N11" s="652">
        <v>41829014</v>
      </c>
      <c r="O11" s="653"/>
      <c r="P11" s="654">
        <v>201027.8</v>
      </c>
      <c r="Q11" s="651"/>
      <c r="R11" s="651"/>
      <c r="S11" s="651"/>
      <c r="T11" s="651"/>
      <c r="U11" s="651"/>
      <c r="V11" s="651"/>
      <c r="W11" s="651"/>
      <c r="X11" s="651"/>
    </row>
    <row r="12" spans="1:24" ht="12" customHeight="1">
      <c r="A12" s="556" t="s">
        <v>107</v>
      </c>
      <c r="B12" s="652">
        <v>232780658</v>
      </c>
      <c r="C12" s="653"/>
      <c r="D12" s="652">
        <v>7222153.6299999999</v>
      </c>
      <c r="E12" s="653"/>
      <c r="F12" s="652">
        <v>84984166</v>
      </c>
      <c r="G12" s="653"/>
      <c r="H12" s="652">
        <v>1699683.32</v>
      </c>
      <c r="I12" s="653"/>
      <c r="J12" s="652">
        <v>6473300</v>
      </c>
      <c r="K12" s="653"/>
      <c r="L12" s="652">
        <v>255695.88</v>
      </c>
      <c r="M12" s="653"/>
      <c r="N12" s="652">
        <v>99509725</v>
      </c>
      <c r="O12" s="653"/>
      <c r="P12" s="654">
        <v>518032.28</v>
      </c>
      <c r="Q12" s="651"/>
      <c r="R12" s="651"/>
      <c r="S12" s="651"/>
      <c r="T12" s="651"/>
      <c r="U12" s="651"/>
      <c r="V12" s="651"/>
      <c r="W12" s="651"/>
      <c r="X12" s="651"/>
    </row>
    <row r="13" spans="1:24" ht="8.25" customHeight="1">
      <c r="B13" s="652"/>
      <c r="C13" s="653"/>
      <c r="D13" s="652"/>
      <c r="E13" s="653"/>
      <c r="F13" s="652"/>
      <c r="G13" s="653"/>
      <c r="H13" s="652"/>
      <c r="I13" s="653"/>
      <c r="J13" s="652"/>
      <c r="K13" s="653"/>
      <c r="L13" s="652"/>
      <c r="M13" s="653"/>
      <c r="N13" s="652"/>
      <c r="O13" s="653"/>
      <c r="P13" s="654"/>
      <c r="Q13" s="651"/>
      <c r="R13" s="651"/>
      <c r="S13" s="651"/>
      <c r="T13" s="651"/>
      <c r="U13" s="651"/>
      <c r="V13" s="651"/>
      <c r="W13" s="651"/>
      <c r="X13" s="651"/>
    </row>
    <row r="14" spans="1:24" ht="12" customHeight="1">
      <c r="A14" s="556" t="s">
        <v>109</v>
      </c>
      <c r="B14" s="652">
        <v>83757963</v>
      </c>
      <c r="C14" s="653"/>
      <c r="D14" s="652">
        <v>3508837.6</v>
      </c>
      <c r="E14" s="653"/>
      <c r="F14" s="652">
        <v>5414772</v>
      </c>
      <c r="G14" s="653"/>
      <c r="H14" s="652">
        <v>249079.52</v>
      </c>
      <c r="I14" s="653"/>
      <c r="J14" s="652">
        <v>13109819</v>
      </c>
      <c r="K14" s="653"/>
      <c r="L14" s="652">
        <v>131098.19</v>
      </c>
      <c r="M14" s="653"/>
      <c r="N14" s="652">
        <v>84740900</v>
      </c>
      <c r="O14" s="653"/>
      <c r="P14" s="654">
        <v>435597.34664999996</v>
      </c>
      <c r="Q14" s="651"/>
      <c r="R14" s="651"/>
      <c r="S14" s="651"/>
      <c r="T14" s="651"/>
      <c r="U14" s="651"/>
      <c r="V14" s="651"/>
      <c r="W14" s="651"/>
      <c r="X14" s="651"/>
    </row>
    <row r="15" spans="1:24" ht="12" customHeight="1">
      <c r="A15" s="556" t="s">
        <v>111</v>
      </c>
      <c r="B15" s="652">
        <v>1938679442</v>
      </c>
      <c r="C15" s="653"/>
      <c r="D15" s="652">
        <v>97194993</v>
      </c>
      <c r="E15" s="653"/>
      <c r="F15" s="652">
        <v>3660755</v>
      </c>
      <c r="G15" s="653"/>
      <c r="H15" s="652">
        <v>183037.75</v>
      </c>
      <c r="I15" s="653"/>
      <c r="J15" s="652">
        <v>0</v>
      </c>
      <c r="K15" s="653"/>
      <c r="L15" s="652">
        <v>0</v>
      </c>
      <c r="M15" s="653"/>
      <c r="N15" s="652">
        <v>825688881.38</v>
      </c>
      <c r="O15" s="653"/>
      <c r="P15" s="654">
        <v>8031934.4100000001</v>
      </c>
      <c r="Q15" s="651"/>
      <c r="R15" s="651"/>
      <c r="S15" s="651"/>
      <c r="T15" s="651"/>
      <c r="U15" s="651"/>
      <c r="V15" s="651"/>
      <c r="W15" s="651"/>
      <c r="X15" s="651"/>
    </row>
    <row r="16" spans="1:24" ht="12" customHeight="1">
      <c r="A16" s="556" t="s">
        <v>113</v>
      </c>
      <c r="B16" s="652">
        <v>587378990</v>
      </c>
      <c r="C16" s="653"/>
      <c r="D16" s="652">
        <v>12118500.43</v>
      </c>
      <c r="E16" s="653"/>
      <c r="F16" s="652">
        <v>163603880</v>
      </c>
      <c r="G16" s="653"/>
      <c r="H16" s="652">
        <v>3108473.72</v>
      </c>
      <c r="I16" s="653"/>
      <c r="J16" s="652">
        <v>0</v>
      </c>
      <c r="K16" s="653"/>
      <c r="L16" s="652">
        <v>0</v>
      </c>
      <c r="M16" s="653"/>
      <c r="N16" s="652">
        <v>262874500</v>
      </c>
      <c r="O16" s="653"/>
      <c r="P16" s="654">
        <v>1278850.27</v>
      </c>
      <c r="Q16" s="651"/>
      <c r="R16" s="651"/>
      <c r="S16" s="651"/>
      <c r="T16" s="651"/>
      <c r="U16" s="651"/>
      <c r="V16" s="651"/>
      <c r="W16" s="651"/>
      <c r="X16" s="651"/>
    </row>
    <row r="17" spans="1:24" ht="12" customHeight="1">
      <c r="A17" s="556" t="s">
        <v>115</v>
      </c>
      <c r="B17" s="652">
        <v>57112800</v>
      </c>
      <c r="C17" s="653"/>
      <c r="D17" s="652">
        <v>201663.71</v>
      </c>
      <c r="E17" s="653"/>
      <c r="F17" s="652">
        <v>85900</v>
      </c>
      <c r="G17" s="653"/>
      <c r="H17" s="652">
        <v>300.64999999999998</v>
      </c>
      <c r="I17" s="653"/>
      <c r="J17" s="652">
        <v>0</v>
      </c>
      <c r="K17" s="653"/>
      <c r="L17" s="652">
        <v>0</v>
      </c>
      <c r="M17" s="653"/>
      <c r="N17" s="652">
        <v>1431099852</v>
      </c>
      <c r="O17" s="653"/>
      <c r="P17" s="654">
        <v>6868045.5</v>
      </c>
      <c r="Q17" s="651"/>
      <c r="R17" s="651"/>
      <c r="S17" s="651"/>
      <c r="T17" s="651"/>
      <c r="U17" s="651"/>
      <c r="V17" s="651"/>
      <c r="W17" s="651"/>
      <c r="X17" s="651"/>
    </row>
    <row r="18" spans="1:24" ht="12" customHeight="1">
      <c r="A18" s="556" t="s">
        <v>117</v>
      </c>
      <c r="B18" s="652">
        <v>757139041</v>
      </c>
      <c r="C18" s="653"/>
      <c r="D18" s="652">
        <v>18328134.73</v>
      </c>
      <c r="E18" s="653"/>
      <c r="F18" s="652">
        <v>208715506</v>
      </c>
      <c r="G18" s="653"/>
      <c r="H18" s="652">
        <v>2504586.09</v>
      </c>
      <c r="I18" s="653"/>
      <c r="J18" s="652">
        <v>0</v>
      </c>
      <c r="K18" s="653"/>
      <c r="L18" s="652">
        <v>0</v>
      </c>
      <c r="M18" s="653"/>
      <c r="N18" s="652">
        <v>260947509</v>
      </c>
      <c r="O18" s="653"/>
      <c r="P18" s="654">
        <v>1300158.22</v>
      </c>
      <c r="Q18" s="651"/>
      <c r="R18" s="651"/>
      <c r="S18" s="651"/>
      <c r="T18" s="651"/>
      <c r="U18" s="651"/>
      <c r="V18" s="651"/>
      <c r="W18" s="651"/>
      <c r="X18" s="651"/>
    </row>
    <row r="19" spans="1:24" ht="8.25" customHeight="1">
      <c r="B19" s="652"/>
      <c r="C19" s="655"/>
      <c r="D19" s="652"/>
      <c r="E19" s="655"/>
      <c r="F19" s="652"/>
      <c r="G19" s="655"/>
      <c r="H19" s="652"/>
      <c r="I19" s="655"/>
      <c r="J19" s="652"/>
      <c r="K19" s="655"/>
      <c r="L19" s="652"/>
      <c r="M19" s="655"/>
      <c r="N19" s="652"/>
      <c r="O19" s="655"/>
      <c r="P19" s="654"/>
      <c r="Q19" s="651"/>
      <c r="R19" s="651"/>
      <c r="S19" s="651"/>
      <c r="T19" s="651"/>
      <c r="U19" s="651"/>
      <c r="V19" s="651"/>
      <c r="W19" s="651"/>
      <c r="X19" s="651"/>
    </row>
    <row r="20" spans="1:24" ht="12" customHeight="1">
      <c r="A20" s="556" t="s">
        <v>119</v>
      </c>
      <c r="B20" s="652">
        <v>58142279</v>
      </c>
      <c r="C20" s="653"/>
      <c r="D20" s="652">
        <v>1245587.58</v>
      </c>
      <c r="E20" s="653"/>
      <c r="F20" s="652">
        <v>18755542</v>
      </c>
      <c r="G20" s="653"/>
      <c r="H20" s="652">
        <v>166924.34000000003</v>
      </c>
      <c r="I20" s="653"/>
      <c r="J20" s="652">
        <v>11520518</v>
      </c>
      <c r="K20" s="653"/>
      <c r="L20" s="652">
        <v>84099.85</v>
      </c>
      <c r="M20" s="653"/>
      <c r="N20" s="652">
        <v>64097493</v>
      </c>
      <c r="O20" s="653"/>
      <c r="P20" s="654">
        <v>357343.91</v>
      </c>
      <c r="Q20" s="651"/>
      <c r="R20" s="651"/>
      <c r="S20" s="651"/>
      <c r="T20" s="651"/>
      <c r="U20" s="651"/>
      <c r="V20" s="651"/>
      <c r="W20" s="651"/>
      <c r="X20" s="651"/>
    </row>
    <row r="21" spans="1:24" ht="12" customHeight="1">
      <c r="A21" s="556" t="s">
        <v>121</v>
      </c>
      <c r="B21" s="652">
        <v>317056942</v>
      </c>
      <c r="C21" s="653"/>
      <c r="D21" s="652">
        <v>7952005</v>
      </c>
      <c r="E21" s="653"/>
      <c r="F21" s="652">
        <v>173908916</v>
      </c>
      <c r="G21" s="653"/>
      <c r="H21" s="652">
        <v>3130361</v>
      </c>
      <c r="I21" s="653"/>
      <c r="J21" s="652">
        <v>0</v>
      </c>
      <c r="K21" s="653"/>
      <c r="L21" s="652">
        <v>0</v>
      </c>
      <c r="M21" s="653"/>
      <c r="N21" s="652">
        <v>194395467</v>
      </c>
      <c r="O21" s="653"/>
      <c r="P21" s="654">
        <v>1270779</v>
      </c>
      <c r="Q21" s="651"/>
      <c r="R21" s="651"/>
      <c r="S21" s="651"/>
      <c r="T21" s="651"/>
      <c r="U21" s="651"/>
      <c r="V21" s="651"/>
      <c r="W21" s="651"/>
      <c r="X21" s="651"/>
    </row>
    <row r="22" spans="1:24" ht="12" customHeight="1">
      <c r="A22" s="556" t="s">
        <v>123</v>
      </c>
      <c r="B22" s="652">
        <v>113699430</v>
      </c>
      <c r="C22" s="653"/>
      <c r="D22" s="652">
        <v>3528356</v>
      </c>
      <c r="E22" s="653"/>
      <c r="F22" s="652">
        <v>13964740</v>
      </c>
      <c r="G22" s="653"/>
      <c r="H22" s="652">
        <v>474801</v>
      </c>
      <c r="I22" s="653"/>
      <c r="J22" s="652">
        <v>10942690</v>
      </c>
      <c r="K22" s="653"/>
      <c r="L22" s="652">
        <v>131312</v>
      </c>
      <c r="M22" s="653"/>
      <c r="N22" s="652">
        <v>55063974</v>
      </c>
      <c r="O22" s="653"/>
      <c r="P22" s="654">
        <v>215197</v>
      </c>
      <c r="Q22" s="651"/>
      <c r="R22" s="651"/>
      <c r="S22" s="651"/>
      <c r="T22" s="651"/>
      <c r="U22" s="651"/>
      <c r="V22" s="651"/>
      <c r="W22" s="651"/>
      <c r="X22" s="651"/>
    </row>
    <row r="23" spans="1:24" ht="12" customHeight="1">
      <c r="A23" s="556" t="s">
        <v>125</v>
      </c>
      <c r="B23" s="652">
        <v>246368041</v>
      </c>
      <c r="C23" s="653"/>
      <c r="D23" s="652">
        <v>4455553.5999999996</v>
      </c>
      <c r="E23" s="653"/>
      <c r="F23" s="652">
        <v>220965971</v>
      </c>
      <c r="G23" s="653"/>
      <c r="H23" s="652">
        <v>4308836.6100000003</v>
      </c>
      <c r="I23" s="653"/>
      <c r="J23" s="652">
        <v>3612117</v>
      </c>
      <c r="K23" s="653"/>
      <c r="L23" s="652">
        <v>72242.34</v>
      </c>
      <c r="M23" s="653"/>
      <c r="N23" s="652">
        <v>93204550</v>
      </c>
      <c r="O23" s="653"/>
      <c r="P23" s="654">
        <v>423395.67</v>
      </c>
      <c r="Q23" s="651"/>
      <c r="R23" s="651"/>
      <c r="S23" s="651"/>
      <c r="T23" s="651"/>
      <c r="U23" s="651"/>
      <c r="V23" s="651"/>
      <c r="W23" s="651"/>
      <c r="X23" s="651"/>
    </row>
    <row r="24" spans="1:24" ht="12" customHeight="1">
      <c r="A24" s="556" t="s">
        <v>127</v>
      </c>
      <c r="B24" s="652">
        <v>105094005</v>
      </c>
      <c r="C24" s="653"/>
      <c r="D24" s="652">
        <v>3645170.6300000004</v>
      </c>
      <c r="E24" s="653"/>
      <c r="F24" s="652">
        <v>7685500</v>
      </c>
      <c r="G24" s="653"/>
      <c r="H24" s="652">
        <v>222879.5</v>
      </c>
      <c r="I24" s="653"/>
      <c r="J24" s="652">
        <v>12406003</v>
      </c>
      <c r="K24" s="653"/>
      <c r="L24" s="652">
        <v>124060.03</v>
      </c>
      <c r="M24" s="653"/>
      <c r="N24" s="652">
        <v>466323519</v>
      </c>
      <c r="O24" s="653"/>
      <c r="P24" s="654">
        <v>2051823.47</v>
      </c>
      <c r="Q24" s="651"/>
      <c r="R24" s="651"/>
      <c r="S24" s="651"/>
      <c r="T24" s="651"/>
      <c r="U24" s="651"/>
      <c r="V24" s="651"/>
      <c r="W24" s="651"/>
      <c r="X24" s="651"/>
    </row>
    <row r="25" spans="1:24" ht="8.25" customHeight="1">
      <c r="B25" s="652"/>
      <c r="C25" s="653"/>
      <c r="D25" s="652"/>
      <c r="E25" s="653"/>
      <c r="F25" s="652"/>
      <c r="G25" s="653"/>
      <c r="H25" s="652"/>
      <c r="I25" s="653"/>
      <c r="J25" s="652"/>
      <c r="K25" s="653"/>
      <c r="L25" s="652"/>
      <c r="M25" s="653"/>
      <c r="N25" s="652"/>
      <c r="O25" s="653"/>
      <c r="P25" s="654"/>
      <c r="Q25" s="651"/>
      <c r="R25" s="651"/>
      <c r="S25" s="651"/>
      <c r="T25" s="651"/>
      <c r="U25" s="651"/>
      <c r="V25" s="651"/>
      <c r="W25" s="651"/>
      <c r="X25" s="651"/>
    </row>
    <row r="26" spans="1:24" ht="12" customHeight="1">
      <c r="A26" s="556" t="s">
        <v>129</v>
      </c>
      <c r="B26" s="652">
        <v>326795303</v>
      </c>
      <c r="C26" s="653"/>
      <c r="D26" s="652">
        <v>11309149.189999998</v>
      </c>
      <c r="E26" s="653"/>
      <c r="F26" s="652">
        <v>176187896</v>
      </c>
      <c r="G26" s="653"/>
      <c r="H26" s="652">
        <v>5726106.7199999997</v>
      </c>
      <c r="I26" s="653"/>
      <c r="J26" s="652">
        <v>0</v>
      </c>
      <c r="K26" s="653"/>
      <c r="L26" s="652">
        <v>0</v>
      </c>
      <c r="M26" s="653"/>
      <c r="N26" s="652">
        <v>227802743</v>
      </c>
      <c r="O26" s="653"/>
      <c r="P26" s="654">
        <v>1063416.83</v>
      </c>
      <c r="Q26" s="651"/>
      <c r="R26" s="651"/>
      <c r="S26" s="651"/>
      <c r="T26" s="651"/>
      <c r="U26" s="651"/>
      <c r="V26" s="651"/>
      <c r="W26" s="651"/>
      <c r="X26" s="651"/>
    </row>
    <row r="27" spans="1:24" ht="12" customHeight="1">
      <c r="A27" s="556" t="s">
        <v>131</v>
      </c>
      <c r="B27" s="652">
        <v>151137990</v>
      </c>
      <c r="C27" s="653"/>
      <c r="D27" s="652">
        <v>9142309.5399999991</v>
      </c>
      <c r="E27" s="653"/>
      <c r="F27" s="652">
        <v>10278870</v>
      </c>
      <c r="G27" s="653"/>
      <c r="H27" s="652">
        <v>359760.45</v>
      </c>
      <c r="I27" s="653"/>
      <c r="J27" s="652">
        <v>0</v>
      </c>
      <c r="K27" s="653"/>
      <c r="L27" s="652">
        <v>0</v>
      </c>
      <c r="M27" s="653"/>
      <c r="N27" s="652">
        <v>436682223</v>
      </c>
      <c r="O27" s="653"/>
      <c r="P27" s="654">
        <v>3102816.78</v>
      </c>
      <c r="Q27" s="651"/>
      <c r="R27" s="651"/>
      <c r="S27" s="651"/>
      <c r="T27" s="651"/>
      <c r="U27" s="651"/>
      <c r="V27" s="651"/>
      <c r="W27" s="651"/>
      <c r="X27" s="651"/>
    </row>
    <row r="28" spans="1:24" ht="12" customHeight="1">
      <c r="A28" s="556" t="s">
        <v>133</v>
      </c>
      <c r="B28" s="652">
        <v>265054185</v>
      </c>
      <c r="C28" s="653"/>
      <c r="D28" s="652">
        <v>3933040.9299999997</v>
      </c>
      <c r="E28" s="653"/>
      <c r="F28" s="652">
        <v>57114155</v>
      </c>
      <c r="G28" s="653"/>
      <c r="H28" s="652">
        <v>742484.5</v>
      </c>
      <c r="I28" s="653"/>
      <c r="J28" s="652">
        <v>8645475</v>
      </c>
      <c r="K28" s="653"/>
      <c r="L28" s="652">
        <v>198846.5</v>
      </c>
      <c r="M28" s="653"/>
      <c r="N28" s="652">
        <v>103112644</v>
      </c>
      <c r="O28" s="653"/>
      <c r="P28" s="654">
        <v>615639.17999999993</v>
      </c>
      <c r="Q28" s="651"/>
      <c r="R28" s="651"/>
      <c r="S28" s="651"/>
      <c r="T28" s="651"/>
      <c r="U28" s="651"/>
      <c r="V28" s="651"/>
      <c r="W28" s="651"/>
      <c r="X28" s="651"/>
    </row>
    <row r="29" spans="1:24" ht="12" customHeight="1">
      <c r="A29" s="556" t="s">
        <v>135</v>
      </c>
      <c r="B29" s="652">
        <v>59917335</v>
      </c>
      <c r="C29" s="653"/>
      <c r="D29" s="652">
        <v>2038913.63</v>
      </c>
      <c r="E29" s="653"/>
      <c r="F29" s="652">
        <v>6189565</v>
      </c>
      <c r="G29" s="653"/>
      <c r="H29" s="652">
        <v>154739.22</v>
      </c>
      <c r="I29" s="653"/>
      <c r="J29" s="652">
        <v>805515</v>
      </c>
      <c r="K29" s="653"/>
      <c r="L29" s="652">
        <v>22554.42</v>
      </c>
      <c r="M29" s="653"/>
      <c r="N29" s="652">
        <v>60307748</v>
      </c>
      <c r="O29" s="653"/>
      <c r="P29" s="654">
        <v>422154.27</v>
      </c>
      <c r="Q29" s="651"/>
      <c r="R29" s="651"/>
      <c r="S29" s="651"/>
      <c r="T29" s="651"/>
      <c r="U29" s="651"/>
      <c r="V29" s="651"/>
      <c r="W29" s="651"/>
      <c r="X29" s="651"/>
    </row>
    <row r="30" spans="1:24" ht="12" customHeight="1">
      <c r="A30" s="556" t="s">
        <v>137</v>
      </c>
      <c r="B30" s="652">
        <v>87736997</v>
      </c>
      <c r="C30" s="653"/>
      <c r="D30" s="652">
        <v>2457014.88</v>
      </c>
      <c r="E30" s="653"/>
      <c r="F30" s="652">
        <v>5054226</v>
      </c>
      <c r="G30" s="653"/>
      <c r="H30" s="652">
        <v>151626.78</v>
      </c>
      <c r="I30" s="653"/>
      <c r="J30" s="652">
        <v>809152</v>
      </c>
      <c r="K30" s="653"/>
      <c r="L30" s="652">
        <v>25892.92</v>
      </c>
      <c r="M30" s="653"/>
      <c r="N30" s="652">
        <v>63792107</v>
      </c>
      <c r="O30" s="653"/>
      <c r="P30" s="654">
        <v>267926.82</v>
      </c>
      <c r="Q30" s="651"/>
      <c r="R30" s="651"/>
      <c r="S30" s="651"/>
      <c r="T30" s="651"/>
      <c r="U30" s="651"/>
      <c r="V30" s="651"/>
      <c r="W30" s="651"/>
      <c r="X30" s="651"/>
    </row>
    <row r="31" spans="1:24" ht="8.25" customHeight="1">
      <c r="B31" s="652"/>
      <c r="C31" s="655"/>
      <c r="D31" s="652"/>
      <c r="E31" s="655"/>
      <c r="F31" s="652"/>
      <c r="G31" s="655"/>
      <c r="H31" s="652"/>
      <c r="I31" s="655"/>
      <c r="J31" s="652"/>
      <c r="K31" s="655"/>
      <c r="L31" s="652"/>
      <c r="M31" s="655"/>
      <c r="N31" s="652"/>
      <c r="O31" s="655"/>
      <c r="P31" s="654"/>
      <c r="Q31" s="651"/>
      <c r="R31" s="651"/>
      <c r="S31" s="651"/>
      <c r="T31" s="651"/>
      <c r="U31" s="651"/>
      <c r="V31" s="651"/>
      <c r="W31" s="651"/>
      <c r="X31" s="651"/>
    </row>
    <row r="32" spans="1:24" s="567" customFormat="1" ht="12" customHeight="1">
      <c r="A32" s="567" t="s">
        <v>139</v>
      </c>
      <c r="B32" s="656">
        <v>2491945517</v>
      </c>
      <c r="C32" s="657"/>
      <c r="D32" s="656">
        <v>85560558.090000004</v>
      </c>
      <c r="E32" s="657"/>
      <c r="F32" s="656">
        <v>159658540</v>
      </c>
      <c r="G32" s="657"/>
      <c r="H32" s="656">
        <v>1598254.7</v>
      </c>
      <c r="I32" s="657"/>
      <c r="J32" s="656">
        <v>0</v>
      </c>
      <c r="K32" s="657"/>
      <c r="L32" s="656">
        <v>0</v>
      </c>
      <c r="M32" s="657"/>
      <c r="N32" s="656">
        <v>1314849375</v>
      </c>
      <c r="O32" s="657"/>
      <c r="P32" s="658">
        <v>12573875.34</v>
      </c>
      <c r="Q32" s="651"/>
      <c r="R32" s="651"/>
      <c r="S32" s="651"/>
      <c r="T32" s="651"/>
      <c r="U32" s="651"/>
      <c r="V32" s="651"/>
      <c r="W32" s="651"/>
      <c r="X32" s="651"/>
    </row>
    <row r="33" spans="1:24" ht="12" customHeight="1">
      <c r="A33" s="556" t="s">
        <v>141</v>
      </c>
      <c r="B33" s="652">
        <v>125264664</v>
      </c>
      <c r="C33" s="653"/>
      <c r="D33" s="652">
        <v>5842065.9900000002</v>
      </c>
      <c r="E33" s="653"/>
      <c r="F33" s="652">
        <v>17424033</v>
      </c>
      <c r="G33" s="653"/>
      <c r="H33" s="652">
        <v>217800.45</v>
      </c>
      <c r="I33" s="653"/>
      <c r="J33" s="652">
        <v>0</v>
      </c>
      <c r="K33" s="653"/>
      <c r="L33" s="652">
        <v>0</v>
      </c>
      <c r="M33" s="653"/>
      <c r="N33" s="652">
        <v>62777134</v>
      </c>
      <c r="O33" s="653"/>
      <c r="P33" s="654">
        <v>389218.22</v>
      </c>
      <c r="Q33" s="651"/>
      <c r="R33" s="651"/>
      <c r="S33" s="651"/>
      <c r="T33" s="651"/>
      <c r="U33" s="651"/>
      <c r="V33" s="651"/>
      <c r="W33" s="651"/>
      <c r="X33" s="651"/>
    </row>
    <row r="34" spans="1:24" ht="12" customHeight="1">
      <c r="A34" s="556" t="s">
        <v>143</v>
      </c>
      <c r="B34" s="652">
        <v>33886489</v>
      </c>
      <c r="C34" s="653"/>
      <c r="D34" s="652">
        <v>940139.93</v>
      </c>
      <c r="E34" s="653"/>
      <c r="F34" s="652">
        <v>2528832</v>
      </c>
      <c r="G34" s="653"/>
      <c r="H34" s="652">
        <v>55634.3</v>
      </c>
      <c r="I34" s="653"/>
      <c r="J34" s="652">
        <v>282742</v>
      </c>
      <c r="K34" s="653"/>
      <c r="L34" s="652">
        <v>9896.0400000000009</v>
      </c>
      <c r="M34" s="653"/>
      <c r="N34" s="652">
        <v>12698689</v>
      </c>
      <c r="O34" s="653"/>
      <c r="P34" s="654">
        <v>82971.19</v>
      </c>
      <c r="Q34" s="651"/>
      <c r="R34" s="651"/>
      <c r="S34" s="651"/>
      <c r="T34" s="651"/>
      <c r="U34" s="651"/>
      <c r="V34" s="651"/>
      <c r="W34" s="651"/>
      <c r="X34" s="651"/>
    </row>
    <row r="35" spans="1:24" ht="12" customHeight="1">
      <c r="A35" s="556" t="s">
        <v>145</v>
      </c>
      <c r="B35" s="652">
        <v>490598082</v>
      </c>
      <c r="C35" s="653"/>
      <c r="D35" s="652">
        <v>16717608.250000002</v>
      </c>
      <c r="E35" s="653"/>
      <c r="F35" s="652">
        <v>66260298</v>
      </c>
      <c r="G35" s="653"/>
      <c r="H35" s="652">
        <v>1325205.96</v>
      </c>
      <c r="I35" s="653"/>
      <c r="J35" s="652">
        <v>0</v>
      </c>
      <c r="K35" s="653"/>
      <c r="L35" s="652">
        <v>0</v>
      </c>
      <c r="M35" s="653"/>
      <c r="N35" s="652">
        <v>190638752</v>
      </c>
      <c r="O35" s="653"/>
      <c r="P35" s="654">
        <v>1486313.1600000001</v>
      </c>
      <c r="Q35" s="651"/>
      <c r="R35" s="651"/>
      <c r="S35" s="651"/>
      <c r="T35" s="651"/>
      <c r="U35" s="651"/>
      <c r="V35" s="651"/>
      <c r="W35" s="651"/>
      <c r="X35" s="651"/>
    </row>
    <row r="36" spans="1:24" ht="12" customHeight="1">
      <c r="A36" s="556" t="s">
        <v>147</v>
      </c>
      <c r="B36" s="652">
        <v>66166829</v>
      </c>
      <c r="C36" s="653"/>
      <c r="D36" s="652">
        <v>2639266.19</v>
      </c>
      <c r="E36" s="653"/>
      <c r="F36" s="652">
        <v>2264637</v>
      </c>
      <c r="G36" s="653"/>
      <c r="H36" s="652">
        <v>84923.9</v>
      </c>
      <c r="I36" s="653"/>
      <c r="J36" s="652">
        <v>0</v>
      </c>
      <c r="K36" s="653"/>
      <c r="L36" s="652">
        <v>0</v>
      </c>
      <c r="M36" s="653"/>
      <c r="N36" s="652">
        <v>76291905</v>
      </c>
      <c r="O36" s="653"/>
      <c r="P36" s="654">
        <v>526331.88</v>
      </c>
      <c r="Q36" s="651"/>
      <c r="R36" s="651"/>
      <c r="S36" s="651"/>
      <c r="T36" s="651"/>
      <c r="U36" s="651"/>
      <c r="V36" s="651"/>
      <c r="W36" s="651"/>
      <c r="X36" s="651"/>
    </row>
    <row r="37" spans="1:24" ht="8.25" customHeight="1">
      <c r="B37" s="652"/>
      <c r="C37" s="653"/>
      <c r="D37" s="652"/>
      <c r="E37" s="653"/>
      <c r="F37" s="652"/>
      <c r="G37" s="653"/>
      <c r="H37" s="652"/>
      <c r="I37" s="653"/>
      <c r="J37" s="659"/>
      <c r="K37" s="653"/>
      <c r="L37" s="659"/>
      <c r="M37" s="653"/>
      <c r="N37" s="652"/>
      <c r="O37" s="653"/>
      <c r="P37" s="654"/>
      <c r="Q37" s="651"/>
      <c r="R37" s="651"/>
      <c r="S37" s="651"/>
      <c r="T37" s="651"/>
      <c r="U37" s="651"/>
      <c r="V37" s="651"/>
      <c r="W37" s="651"/>
      <c r="X37" s="651"/>
    </row>
    <row r="38" spans="1:24" ht="12" customHeight="1">
      <c r="A38" s="556" t="s">
        <v>149</v>
      </c>
      <c r="B38" s="652">
        <v>137825068</v>
      </c>
      <c r="C38" s="653"/>
      <c r="D38" s="652">
        <v>2152196.23</v>
      </c>
      <c r="E38" s="653"/>
      <c r="F38" s="652">
        <v>84518085</v>
      </c>
      <c r="G38" s="653"/>
      <c r="H38" s="652">
        <v>1428335.64</v>
      </c>
      <c r="I38" s="653"/>
      <c r="J38" s="652">
        <v>799868</v>
      </c>
      <c r="K38" s="653"/>
      <c r="L38" s="652">
        <v>83986.14</v>
      </c>
      <c r="M38" s="653"/>
      <c r="N38" s="652">
        <v>61365707</v>
      </c>
      <c r="O38" s="653"/>
      <c r="P38" s="654">
        <v>370039.97799999994</v>
      </c>
      <c r="Q38" s="651"/>
      <c r="R38" s="651"/>
      <c r="S38" s="651"/>
      <c r="T38" s="651"/>
      <c r="U38" s="651"/>
      <c r="V38" s="651"/>
      <c r="W38" s="651"/>
      <c r="X38" s="651"/>
    </row>
    <row r="39" spans="1:24" ht="12" customHeight="1">
      <c r="A39" s="556" t="s">
        <v>151</v>
      </c>
      <c r="B39" s="652">
        <v>254227946</v>
      </c>
      <c r="C39" s="653"/>
      <c r="D39" s="652">
        <v>11164327.5601</v>
      </c>
      <c r="E39" s="653"/>
      <c r="F39" s="652">
        <v>17998701</v>
      </c>
      <c r="G39" s="653"/>
      <c r="H39" s="652">
        <v>593957.13300000003</v>
      </c>
      <c r="I39" s="653"/>
      <c r="J39" s="652">
        <v>0</v>
      </c>
      <c r="K39" s="653"/>
      <c r="L39" s="652">
        <v>0</v>
      </c>
      <c r="M39" s="653"/>
      <c r="N39" s="652">
        <v>129154426</v>
      </c>
      <c r="O39" s="653"/>
      <c r="P39" s="654">
        <v>935097.19899999991</v>
      </c>
      <c r="Q39" s="651"/>
      <c r="R39" s="651"/>
      <c r="S39" s="651"/>
      <c r="T39" s="651"/>
      <c r="U39" s="651"/>
      <c r="V39" s="651"/>
      <c r="W39" s="651"/>
      <c r="X39" s="651"/>
    </row>
    <row r="40" spans="1:24" ht="12" customHeight="1">
      <c r="A40" s="556" t="s">
        <v>153</v>
      </c>
      <c r="B40" s="652">
        <v>88167722</v>
      </c>
      <c r="C40" s="653"/>
      <c r="D40" s="652">
        <v>2929930.5500000003</v>
      </c>
      <c r="E40" s="653"/>
      <c r="F40" s="652">
        <v>1689475</v>
      </c>
      <c r="G40" s="653"/>
      <c r="H40" s="652">
        <v>59131.64</v>
      </c>
      <c r="I40" s="653"/>
      <c r="J40" s="652">
        <v>1815583</v>
      </c>
      <c r="K40" s="653"/>
      <c r="L40" s="652">
        <v>68084.539999999994</v>
      </c>
      <c r="M40" s="653"/>
      <c r="N40" s="652">
        <v>37524719</v>
      </c>
      <c r="O40" s="653"/>
      <c r="P40" s="654">
        <v>229456.25</v>
      </c>
      <c r="Q40" s="651"/>
      <c r="R40" s="651"/>
      <c r="S40" s="651"/>
      <c r="T40" s="651"/>
      <c r="U40" s="651"/>
      <c r="V40" s="651"/>
      <c r="W40" s="651"/>
      <c r="X40" s="651"/>
    </row>
    <row r="41" spans="1:24" ht="12" customHeight="1">
      <c r="A41" s="556" t="s">
        <v>155</v>
      </c>
      <c r="B41" s="652">
        <v>12311553584</v>
      </c>
      <c r="C41" s="653"/>
      <c r="D41" s="652">
        <v>483384335</v>
      </c>
      <c r="E41" s="653"/>
      <c r="F41" s="652">
        <v>76560282</v>
      </c>
      <c r="G41" s="653"/>
      <c r="H41" s="652">
        <v>3498805</v>
      </c>
      <c r="I41" s="653"/>
      <c r="J41" s="652">
        <v>0</v>
      </c>
      <c r="K41" s="653"/>
      <c r="L41" s="652">
        <v>0</v>
      </c>
      <c r="M41" s="653"/>
      <c r="N41" s="652">
        <v>3433066787</v>
      </c>
      <c r="O41" s="653"/>
      <c r="P41" s="654">
        <v>37069434.7108</v>
      </c>
      <c r="Q41" s="651"/>
      <c r="R41" s="651"/>
      <c r="S41" s="651"/>
      <c r="T41" s="651"/>
      <c r="U41" s="651"/>
      <c r="V41" s="651"/>
      <c r="W41" s="651"/>
      <c r="X41" s="651"/>
    </row>
    <row r="42" spans="1:24" ht="12" customHeight="1">
      <c r="A42" s="556" t="s">
        <v>157</v>
      </c>
      <c r="B42" s="652">
        <v>705342678</v>
      </c>
      <c r="C42" s="653"/>
      <c r="D42" s="652">
        <v>27902038</v>
      </c>
      <c r="E42" s="653"/>
      <c r="F42" s="652">
        <v>12018931</v>
      </c>
      <c r="G42" s="653"/>
      <c r="H42" s="652">
        <v>276435</v>
      </c>
      <c r="I42" s="653"/>
      <c r="J42" s="652">
        <v>0</v>
      </c>
      <c r="K42" s="653"/>
      <c r="L42" s="652">
        <v>0</v>
      </c>
      <c r="M42" s="653"/>
      <c r="N42" s="652">
        <v>669744960</v>
      </c>
      <c r="O42" s="653"/>
      <c r="P42" s="654">
        <v>6521115.4199999999</v>
      </c>
      <c r="Q42" s="651"/>
      <c r="R42" s="651"/>
      <c r="S42" s="651"/>
      <c r="T42" s="651"/>
      <c r="U42" s="651"/>
      <c r="V42" s="651"/>
      <c r="W42" s="651"/>
      <c r="X42" s="651"/>
    </row>
    <row r="43" spans="1:24" ht="15">
      <c r="A43" s="638" t="s">
        <v>999</v>
      </c>
      <c r="B43" s="639"/>
      <c r="C43" s="606"/>
      <c r="D43" s="639"/>
      <c r="E43" s="606"/>
      <c r="F43" s="639"/>
      <c r="G43" s="606"/>
      <c r="H43" s="639"/>
      <c r="I43" s="606"/>
      <c r="J43" s="639"/>
      <c r="K43" s="606"/>
      <c r="L43" s="639"/>
      <c r="M43" s="606"/>
      <c r="N43" s="639"/>
      <c r="O43" s="606"/>
      <c r="P43" s="639"/>
      <c r="Q43" s="615"/>
      <c r="R43" s="615"/>
      <c r="S43" s="615"/>
      <c r="T43" s="615"/>
      <c r="U43" s="615"/>
      <c r="V43" s="615"/>
      <c r="W43" s="615"/>
      <c r="X43" s="615"/>
    </row>
    <row r="44" spans="1:24" ht="12.75">
      <c r="A44" s="640" t="s">
        <v>967</v>
      </c>
      <c r="B44" s="641"/>
      <c r="C44" s="641"/>
      <c r="D44" s="641"/>
      <c r="E44" s="641"/>
      <c r="F44" s="641"/>
      <c r="G44" s="641"/>
      <c r="H44" s="641"/>
      <c r="I44" s="641"/>
      <c r="J44" s="641"/>
      <c r="K44" s="641"/>
      <c r="L44" s="641"/>
      <c r="M44" s="641"/>
      <c r="N44" s="641"/>
      <c r="O44" s="641"/>
      <c r="P44" s="641"/>
      <c r="Q44" s="642"/>
      <c r="R44" s="642"/>
      <c r="S44" s="642"/>
      <c r="T44" s="642"/>
      <c r="U44" s="642"/>
      <c r="V44" s="642"/>
      <c r="W44" s="642"/>
      <c r="X44" s="642"/>
    </row>
    <row r="45" spans="1:24" ht="12.75">
      <c r="A45" s="850" t="s">
        <v>1070</v>
      </c>
      <c r="B45" s="561"/>
      <c r="C45" s="561"/>
      <c r="D45" s="561"/>
      <c r="E45" s="561"/>
      <c r="F45" s="561"/>
      <c r="G45" s="561"/>
      <c r="H45" s="561"/>
      <c r="I45" s="561"/>
      <c r="J45" s="561"/>
      <c r="K45" s="561"/>
      <c r="L45" s="561"/>
      <c r="M45" s="561"/>
      <c r="N45" s="561"/>
      <c r="O45" s="561"/>
      <c r="P45" s="561"/>
      <c r="Q45" s="643"/>
      <c r="R45" s="643"/>
      <c r="S45" s="643"/>
      <c r="T45" s="643"/>
      <c r="U45" s="643"/>
      <c r="V45" s="643"/>
      <c r="W45" s="643"/>
      <c r="X45" s="643"/>
    </row>
    <row r="46" spans="1:24" ht="11.25" customHeight="1" thickBot="1">
      <c r="A46" s="562"/>
      <c r="B46" s="562"/>
      <c r="C46" s="562"/>
      <c r="D46" s="562"/>
      <c r="E46" s="562"/>
      <c r="F46" s="562"/>
      <c r="G46" s="562"/>
      <c r="H46" s="562"/>
      <c r="I46" s="562"/>
      <c r="J46" s="562"/>
      <c r="K46" s="562"/>
      <c r="L46" s="562"/>
      <c r="M46" s="562"/>
      <c r="N46" s="562"/>
      <c r="O46" s="562"/>
      <c r="P46" s="562"/>
      <c r="Q46" s="643"/>
      <c r="R46" s="643"/>
      <c r="S46" s="643"/>
      <c r="T46" s="643"/>
      <c r="U46" s="643"/>
      <c r="V46" s="643"/>
      <c r="W46" s="643"/>
      <c r="X46" s="643"/>
    </row>
    <row r="47" spans="1:24" ht="14.25" customHeight="1">
      <c r="A47" s="606"/>
      <c r="B47" s="1091" t="s">
        <v>968</v>
      </c>
      <c r="C47" s="1091"/>
      <c r="D47" s="1091"/>
      <c r="E47" s="606"/>
      <c r="F47" s="1091" t="s">
        <v>969</v>
      </c>
      <c r="G47" s="1091"/>
      <c r="H47" s="1091"/>
      <c r="I47" s="606"/>
      <c r="J47" s="1091" t="s">
        <v>970</v>
      </c>
      <c r="K47" s="1091"/>
      <c r="L47" s="1091"/>
      <c r="M47" s="606"/>
      <c r="N47" s="1091" t="s">
        <v>971</v>
      </c>
      <c r="O47" s="1091"/>
      <c r="P47" s="1091"/>
      <c r="Q47" s="644"/>
      <c r="R47" s="644"/>
      <c r="S47" s="644"/>
      <c r="T47" s="644"/>
      <c r="U47" s="644"/>
      <c r="V47" s="644"/>
      <c r="W47" s="644"/>
      <c r="X47" s="644"/>
    </row>
    <row r="48" spans="1:24" ht="12" customHeight="1">
      <c r="A48" s="645" t="s">
        <v>33</v>
      </c>
      <c r="B48" s="646" t="s">
        <v>972</v>
      </c>
      <c r="C48" s="563"/>
      <c r="D48" s="646" t="s">
        <v>973</v>
      </c>
      <c r="E48" s="563"/>
      <c r="F48" s="646" t="s">
        <v>972</v>
      </c>
      <c r="G48" s="563"/>
      <c r="H48" s="646" t="s">
        <v>973</v>
      </c>
      <c r="I48" s="563"/>
      <c r="J48" s="646" t="s">
        <v>972</v>
      </c>
      <c r="K48" s="563"/>
      <c r="L48" s="646" t="s">
        <v>973</v>
      </c>
      <c r="M48" s="563"/>
      <c r="N48" s="646" t="s">
        <v>972</v>
      </c>
      <c r="O48" s="563"/>
      <c r="P48" s="646" t="s">
        <v>973</v>
      </c>
      <c r="Q48" s="647"/>
      <c r="R48" s="647"/>
      <c r="S48" s="647"/>
      <c r="T48" s="647"/>
      <c r="U48" s="647"/>
      <c r="V48" s="647"/>
      <c r="W48" s="647"/>
      <c r="X48" s="647"/>
    </row>
    <row r="49" spans="1:24" ht="8.25" customHeight="1">
      <c r="B49" s="652"/>
      <c r="C49" s="655"/>
      <c r="D49" s="652"/>
      <c r="E49" s="655"/>
      <c r="F49" s="652"/>
      <c r="G49" s="655"/>
      <c r="H49" s="652"/>
      <c r="I49" s="655"/>
      <c r="J49" s="652"/>
      <c r="K49" s="655"/>
      <c r="L49" s="652"/>
      <c r="M49" s="655"/>
      <c r="N49" s="652"/>
      <c r="O49" s="655"/>
      <c r="P49" s="654"/>
      <c r="Q49" s="651"/>
      <c r="R49" s="651"/>
      <c r="S49" s="651"/>
      <c r="T49" s="651"/>
      <c r="U49" s="651"/>
      <c r="V49" s="651"/>
      <c r="W49" s="651"/>
      <c r="X49" s="651"/>
    </row>
    <row r="50" spans="1:24" ht="12" customHeight="1">
      <c r="A50" s="556" t="s">
        <v>159</v>
      </c>
      <c r="B50" s="648">
        <v>104508370</v>
      </c>
      <c r="C50" s="649"/>
      <c r="D50" s="648">
        <v>2845452.27</v>
      </c>
      <c r="E50" s="649"/>
      <c r="F50" s="648">
        <v>10228648</v>
      </c>
      <c r="G50" s="649"/>
      <c r="H50" s="648">
        <v>158544.04</v>
      </c>
      <c r="I50" s="649"/>
      <c r="J50" s="648">
        <v>1543732</v>
      </c>
      <c r="K50" s="649"/>
      <c r="L50" s="648">
        <v>54030.62</v>
      </c>
      <c r="M50" s="649"/>
      <c r="N50" s="648">
        <v>56284341</v>
      </c>
      <c r="O50" s="649"/>
      <c r="P50" s="650">
        <v>285770.08</v>
      </c>
      <c r="Q50" s="651"/>
      <c r="R50" s="651"/>
      <c r="S50" s="651"/>
      <c r="T50" s="651"/>
      <c r="U50" s="651"/>
      <c r="V50" s="651"/>
      <c r="W50" s="651"/>
      <c r="X50" s="651"/>
    </row>
    <row r="51" spans="1:24" ht="12" customHeight="1">
      <c r="A51" s="556" t="s">
        <v>161</v>
      </c>
      <c r="B51" s="652">
        <v>180982202</v>
      </c>
      <c r="C51" s="653"/>
      <c r="D51" s="652">
        <v>7418136.5099999998</v>
      </c>
      <c r="E51" s="653"/>
      <c r="F51" s="652">
        <v>230729</v>
      </c>
      <c r="G51" s="653"/>
      <c r="H51" s="652">
        <v>4614.58</v>
      </c>
      <c r="I51" s="653"/>
      <c r="J51" s="652">
        <v>6042253</v>
      </c>
      <c r="K51" s="653"/>
      <c r="L51" s="652">
        <v>250753.49</v>
      </c>
      <c r="M51" s="653"/>
      <c r="N51" s="652">
        <v>532397425</v>
      </c>
      <c r="O51" s="653"/>
      <c r="P51" s="654">
        <v>3073771.0500000003</v>
      </c>
      <c r="Q51" s="651"/>
      <c r="R51" s="651"/>
      <c r="S51" s="651"/>
      <c r="T51" s="651"/>
      <c r="U51" s="651"/>
      <c r="V51" s="651"/>
      <c r="W51" s="651"/>
      <c r="X51" s="651"/>
    </row>
    <row r="52" spans="1:24" s="662" customFormat="1" ht="12" customHeight="1">
      <c r="A52" s="660" t="s">
        <v>629</v>
      </c>
      <c r="B52" s="652">
        <v>513673475</v>
      </c>
      <c r="C52" s="661"/>
      <c r="D52" s="652">
        <v>9720417.2699999996</v>
      </c>
      <c r="E52" s="661"/>
      <c r="F52" s="652">
        <v>87420380</v>
      </c>
      <c r="G52" s="661"/>
      <c r="H52" s="652">
        <v>524522.27</v>
      </c>
      <c r="I52" s="661"/>
      <c r="J52" s="652">
        <v>61116302</v>
      </c>
      <c r="K52" s="661"/>
      <c r="L52" s="652">
        <v>660056.04</v>
      </c>
      <c r="M52" s="661"/>
      <c r="N52" s="652">
        <v>163682723</v>
      </c>
      <c r="O52" s="661"/>
      <c r="P52" s="654">
        <v>792023.54</v>
      </c>
      <c r="Q52" s="651"/>
      <c r="R52" s="651"/>
      <c r="S52" s="651"/>
      <c r="T52" s="651"/>
      <c r="U52" s="651"/>
      <c r="V52" s="651"/>
      <c r="W52" s="651"/>
      <c r="X52" s="651"/>
    </row>
    <row r="53" spans="1:24" ht="12" customHeight="1">
      <c r="A53" s="556" t="s">
        <v>164</v>
      </c>
      <c r="B53" s="652">
        <v>792018662</v>
      </c>
      <c r="C53" s="653"/>
      <c r="D53" s="652">
        <v>33996494.07</v>
      </c>
      <c r="E53" s="653"/>
      <c r="F53" s="652">
        <v>243380977</v>
      </c>
      <c r="G53" s="653"/>
      <c r="H53" s="652">
        <v>4867619.54</v>
      </c>
      <c r="I53" s="653"/>
      <c r="J53" s="652">
        <v>0</v>
      </c>
      <c r="K53" s="653"/>
      <c r="L53" s="652">
        <v>0</v>
      </c>
      <c r="M53" s="653"/>
      <c r="N53" s="652">
        <v>299573429</v>
      </c>
      <c r="O53" s="653"/>
      <c r="P53" s="654">
        <v>1674127.9400000002</v>
      </c>
      <c r="Q53" s="651"/>
      <c r="R53" s="651"/>
      <c r="S53" s="651"/>
      <c r="T53" s="651"/>
      <c r="U53" s="651"/>
      <c r="V53" s="651"/>
      <c r="W53" s="651"/>
      <c r="X53" s="651"/>
    </row>
    <row r="54" spans="1:24" ht="12" customHeight="1">
      <c r="A54" s="556" t="s">
        <v>166</v>
      </c>
      <c r="B54" s="652">
        <v>166001954</v>
      </c>
      <c r="C54" s="653"/>
      <c r="D54" s="652">
        <v>3038426.99</v>
      </c>
      <c r="E54" s="653"/>
      <c r="F54" s="652">
        <v>310267438</v>
      </c>
      <c r="G54" s="653"/>
      <c r="H54" s="652">
        <v>3133701.12</v>
      </c>
      <c r="I54" s="653"/>
      <c r="J54" s="652">
        <v>19974892</v>
      </c>
      <c r="K54" s="653"/>
      <c r="L54" s="652">
        <v>162330.23999999999</v>
      </c>
      <c r="M54" s="653"/>
      <c r="N54" s="652">
        <v>171001017</v>
      </c>
      <c r="O54" s="653"/>
      <c r="P54" s="654">
        <v>930636.02999999991</v>
      </c>
      <c r="Q54" s="651"/>
      <c r="R54" s="651"/>
      <c r="S54" s="651"/>
      <c r="T54" s="651"/>
      <c r="U54" s="651"/>
      <c r="V54" s="651"/>
      <c r="W54" s="651"/>
      <c r="X54" s="651"/>
    </row>
    <row r="55" spans="1:24" ht="8.25" customHeight="1">
      <c r="B55" s="652"/>
      <c r="C55" s="653"/>
      <c r="D55" s="652"/>
      <c r="E55" s="653"/>
      <c r="F55" s="652"/>
      <c r="G55" s="653"/>
      <c r="H55" s="652"/>
      <c r="I55" s="653"/>
      <c r="J55" s="652"/>
      <c r="K55" s="653"/>
      <c r="L55" s="652"/>
      <c r="M55" s="653"/>
      <c r="N55" s="652"/>
      <c r="O55" s="653"/>
      <c r="P55" s="654"/>
      <c r="Q55" s="651"/>
      <c r="R55" s="651"/>
      <c r="S55" s="651"/>
      <c r="T55" s="651"/>
      <c r="U55" s="651"/>
      <c r="V55" s="651"/>
      <c r="W55" s="651"/>
      <c r="X55" s="651"/>
    </row>
    <row r="56" spans="1:24" s="655" customFormat="1" ht="12" customHeight="1">
      <c r="A56" s="663" t="s">
        <v>637</v>
      </c>
      <c r="B56" s="652">
        <v>438703534</v>
      </c>
      <c r="C56" s="661"/>
      <c r="D56" s="652">
        <v>10679369.91</v>
      </c>
      <c r="E56" s="661"/>
      <c r="F56" s="652">
        <v>8808545</v>
      </c>
      <c r="G56" s="661"/>
      <c r="H56" s="652">
        <v>229022.17</v>
      </c>
      <c r="I56" s="661"/>
      <c r="J56" s="652">
        <v>0</v>
      </c>
      <c r="K56" s="661"/>
      <c r="L56" s="652">
        <v>0</v>
      </c>
      <c r="M56" s="661"/>
      <c r="N56" s="652">
        <v>87993497</v>
      </c>
      <c r="O56" s="661"/>
      <c r="P56" s="654">
        <v>513157.66000000003</v>
      </c>
      <c r="Q56" s="651"/>
      <c r="R56" s="651"/>
      <c r="S56" s="651"/>
      <c r="T56" s="651"/>
      <c r="U56" s="651"/>
      <c r="V56" s="651"/>
      <c r="W56" s="651"/>
      <c r="X56" s="651"/>
    </row>
    <row r="57" spans="1:24" s="655" customFormat="1" ht="12" customHeight="1">
      <c r="A57" s="663" t="s">
        <v>639</v>
      </c>
      <c r="B57" s="652">
        <v>256886512</v>
      </c>
      <c r="C57" s="661"/>
      <c r="D57" s="652">
        <v>9491147</v>
      </c>
      <c r="E57" s="661"/>
      <c r="F57" s="652">
        <v>11302821</v>
      </c>
      <c r="G57" s="661"/>
      <c r="H57" s="652">
        <v>423856</v>
      </c>
      <c r="I57" s="661"/>
      <c r="J57" s="652">
        <v>0</v>
      </c>
      <c r="K57" s="661"/>
      <c r="L57" s="652">
        <v>0</v>
      </c>
      <c r="M57" s="661"/>
      <c r="N57" s="652">
        <v>118768766</v>
      </c>
      <c r="O57" s="661"/>
      <c r="P57" s="654">
        <v>631263</v>
      </c>
      <c r="Q57" s="651"/>
      <c r="R57" s="651"/>
      <c r="S57" s="651"/>
      <c r="T57" s="651"/>
      <c r="U57" s="651"/>
      <c r="V57" s="651"/>
      <c r="W57" s="651"/>
      <c r="X57" s="651"/>
    </row>
    <row r="58" spans="1:24" s="655" customFormat="1" ht="12" customHeight="1">
      <c r="A58" s="663" t="s">
        <v>641</v>
      </c>
      <c r="B58" s="652">
        <v>97785167</v>
      </c>
      <c r="C58" s="661"/>
      <c r="D58" s="652">
        <v>1638413</v>
      </c>
      <c r="E58" s="661"/>
      <c r="F58" s="652">
        <v>7412888</v>
      </c>
      <c r="G58" s="661"/>
      <c r="H58" s="652">
        <v>129725.54</v>
      </c>
      <c r="I58" s="661"/>
      <c r="J58" s="652">
        <v>601363</v>
      </c>
      <c r="K58" s="661"/>
      <c r="L58" s="652">
        <v>40291.32</v>
      </c>
      <c r="M58" s="661"/>
      <c r="N58" s="652">
        <v>39027361</v>
      </c>
      <c r="O58" s="661"/>
      <c r="P58" s="654">
        <v>192875.72</v>
      </c>
      <c r="Q58" s="651"/>
      <c r="R58" s="651"/>
      <c r="S58" s="651"/>
      <c r="T58" s="651"/>
      <c r="U58" s="651"/>
      <c r="V58" s="651"/>
      <c r="W58" s="651"/>
      <c r="X58" s="651"/>
    </row>
    <row r="59" spans="1:24" ht="12" customHeight="1">
      <c r="A59" s="556" t="s">
        <v>106</v>
      </c>
      <c r="B59" s="652">
        <v>109358168</v>
      </c>
      <c r="C59" s="653"/>
      <c r="D59" s="652">
        <v>5161876.8500000006</v>
      </c>
      <c r="E59" s="653"/>
      <c r="F59" s="652">
        <v>5062892</v>
      </c>
      <c r="G59" s="653"/>
      <c r="H59" s="652">
        <v>126572.3</v>
      </c>
      <c r="I59" s="653"/>
      <c r="J59" s="652">
        <v>0</v>
      </c>
      <c r="K59" s="653"/>
      <c r="L59" s="652">
        <v>0</v>
      </c>
      <c r="M59" s="653"/>
      <c r="N59" s="652">
        <v>55089002</v>
      </c>
      <c r="O59" s="653"/>
      <c r="P59" s="654">
        <v>380114.11379999993</v>
      </c>
      <c r="Q59" s="651"/>
      <c r="R59" s="651"/>
      <c r="S59" s="651"/>
      <c r="T59" s="651"/>
      <c r="U59" s="651"/>
      <c r="V59" s="651"/>
      <c r="W59" s="651"/>
      <c r="X59" s="651"/>
    </row>
    <row r="60" spans="1:24" ht="12" customHeight="1">
      <c r="A60" s="558" t="s">
        <v>108</v>
      </c>
      <c r="B60" s="652">
        <v>59046250</v>
      </c>
      <c r="C60" s="661"/>
      <c r="D60" s="652">
        <v>2428502.5599999996</v>
      </c>
      <c r="E60" s="661"/>
      <c r="F60" s="652">
        <v>29910070</v>
      </c>
      <c r="G60" s="661"/>
      <c r="H60" s="652">
        <v>1196402.8</v>
      </c>
      <c r="I60" s="661"/>
      <c r="J60" s="652">
        <v>0</v>
      </c>
      <c r="K60" s="664"/>
      <c r="L60" s="652">
        <v>0</v>
      </c>
      <c r="M60" s="664"/>
      <c r="N60" s="652">
        <v>47451594</v>
      </c>
      <c r="O60" s="661"/>
      <c r="P60" s="654">
        <v>253278.2</v>
      </c>
      <c r="Q60" s="651"/>
      <c r="R60" s="651"/>
      <c r="S60" s="651"/>
      <c r="T60" s="651"/>
      <c r="U60" s="651"/>
      <c r="V60" s="651"/>
      <c r="W60" s="651"/>
      <c r="X60" s="651"/>
    </row>
    <row r="61" spans="1:24" ht="8.25" customHeight="1">
      <c r="B61" s="556"/>
      <c r="D61" s="556"/>
      <c r="F61" s="556"/>
      <c r="H61" s="556"/>
      <c r="J61" s="556"/>
      <c r="L61" s="556"/>
      <c r="N61" s="556"/>
      <c r="P61" s="556"/>
    </row>
    <row r="62" spans="1:24" ht="12" customHeight="1">
      <c r="A62" s="556" t="s">
        <v>523</v>
      </c>
      <c r="B62" s="654">
        <v>230486213</v>
      </c>
      <c r="C62" s="665"/>
      <c r="D62" s="654">
        <v>7421619.25</v>
      </c>
      <c r="E62" s="654"/>
      <c r="F62" s="654">
        <v>104232700</v>
      </c>
      <c r="G62" s="654"/>
      <c r="H62" s="654">
        <v>1313332.02</v>
      </c>
      <c r="I62" s="654"/>
      <c r="J62" s="654">
        <v>0</v>
      </c>
      <c r="K62" s="666"/>
      <c r="L62" s="654">
        <v>0</v>
      </c>
      <c r="M62" s="666"/>
      <c r="N62" s="654">
        <v>910366188</v>
      </c>
      <c r="O62" s="654"/>
      <c r="P62" s="654">
        <v>3932828.16</v>
      </c>
      <c r="Q62" s="651"/>
      <c r="R62" s="651"/>
      <c r="S62" s="651"/>
      <c r="T62" s="651"/>
      <c r="U62" s="651"/>
      <c r="V62" s="651"/>
      <c r="W62" s="651"/>
      <c r="X62" s="651"/>
    </row>
    <row r="63" spans="1:24" ht="12" customHeight="1">
      <c r="A63" s="556" t="s">
        <v>112</v>
      </c>
      <c r="B63" s="652">
        <v>1263540625</v>
      </c>
      <c r="C63" s="661"/>
      <c r="D63" s="652">
        <v>39578912.429999992</v>
      </c>
      <c r="E63" s="661"/>
      <c r="F63" s="652">
        <v>47463425</v>
      </c>
      <c r="G63" s="661"/>
      <c r="H63" s="652">
        <v>1694444.32</v>
      </c>
      <c r="I63" s="661"/>
      <c r="J63" s="652">
        <v>40558605</v>
      </c>
      <c r="K63" s="661"/>
      <c r="L63" s="652">
        <v>770615.38</v>
      </c>
      <c r="M63" s="661"/>
      <c r="N63" s="652">
        <v>605126349</v>
      </c>
      <c r="O63" s="661"/>
      <c r="P63" s="654">
        <v>4344747.09</v>
      </c>
      <c r="Q63" s="651"/>
      <c r="R63" s="651"/>
      <c r="S63" s="651"/>
      <c r="T63" s="651"/>
      <c r="U63" s="651"/>
      <c r="V63" s="651"/>
      <c r="W63" s="651"/>
      <c r="X63" s="651"/>
    </row>
    <row r="64" spans="1:24" ht="12" customHeight="1">
      <c r="A64" s="556" t="s">
        <v>114</v>
      </c>
      <c r="B64" s="652">
        <v>3216528082</v>
      </c>
      <c r="C64" s="661"/>
      <c r="D64" s="652">
        <v>110750822</v>
      </c>
      <c r="E64" s="661"/>
      <c r="F64" s="652">
        <v>267760200</v>
      </c>
      <c r="G64" s="661"/>
      <c r="H64" s="652">
        <v>2677602</v>
      </c>
      <c r="I64" s="661"/>
      <c r="J64" s="652">
        <v>0</v>
      </c>
      <c r="K64" s="664"/>
      <c r="L64" s="652">
        <v>0</v>
      </c>
      <c r="M64" s="664"/>
      <c r="N64" s="652">
        <v>991470297</v>
      </c>
      <c r="O64" s="661"/>
      <c r="P64" s="654">
        <v>8713223</v>
      </c>
      <c r="Q64" s="651"/>
      <c r="R64" s="651"/>
      <c r="S64" s="651"/>
      <c r="T64" s="651"/>
      <c r="U64" s="651"/>
      <c r="V64" s="651"/>
      <c r="W64" s="651"/>
      <c r="X64" s="651"/>
    </row>
    <row r="65" spans="1:24" ht="12" customHeight="1">
      <c r="A65" s="556" t="s">
        <v>116</v>
      </c>
      <c r="B65" s="652">
        <v>372605908</v>
      </c>
      <c r="C65" s="661"/>
      <c r="D65" s="652">
        <v>5226726.7700000005</v>
      </c>
      <c r="E65" s="661"/>
      <c r="F65" s="652">
        <v>227616687</v>
      </c>
      <c r="G65" s="661"/>
      <c r="H65" s="652">
        <v>3368726.9676000001</v>
      </c>
      <c r="I65" s="661"/>
      <c r="J65" s="652">
        <v>0</v>
      </c>
      <c r="K65" s="664"/>
      <c r="L65" s="652">
        <v>0</v>
      </c>
      <c r="M65" s="664"/>
      <c r="N65" s="652">
        <v>142483814</v>
      </c>
      <c r="O65" s="661"/>
      <c r="P65" s="654">
        <v>656969.09</v>
      </c>
      <c r="Q65" s="651"/>
      <c r="R65" s="651"/>
      <c r="S65" s="651"/>
      <c r="T65" s="651"/>
      <c r="U65" s="651"/>
      <c r="V65" s="651"/>
      <c r="W65" s="651"/>
      <c r="X65" s="651"/>
    </row>
    <row r="66" spans="1:24" ht="12" customHeight="1">
      <c r="A66" s="556" t="s">
        <v>118</v>
      </c>
      <c r="B66" s="652">
        <v>21883126</v>
      </c>
      <c r="C66" s="653"/>
      <c r="D66" s="652">
        <v>322587.21000000002</v>
      </c>
      <c r="E66" s="653"/>
      <c r="F66" s="652">
        <v>42601</v>
      </c>
      <c r="G66" s="653"/>
      <c r="H66" s="652">
        <v>426.01</v>
      </c>
      <c r="I66" s="653"/>
      <c r="J66" s="652">
        <v>265915</v>
      </c>
      <c r="K66" s="653"/>
      <c r="L66" s="652">
        <v>2659.15</v>
      </c>
      <c r="M66" s="653"/>
      <c r="N66" s="652">
        <v>14380706</v>
      </c>
      <c r="O66" s="653"/>
      <c r="P66" s="654">
        <v>58120.17</v>
      </c>
      <c r="Q66" s="651"/>
      <c r="R66" s="651"/>
      <c r="S66" s="651"/>
      <c r="T66" s="651"/>
      <c r="U66" s="651"/>
      <c r="V66" s="651"/>
      <c r="W66" s="651"/>
      <c r="X66" s="651"/>
    </row>
    <row r="67" spans="1:24" ht="8.25" customHeight="1">
      <c r="B67" s="652"/>
      <c r="C67" s="653"/>
      <c r="D67" s="652"/>
      <c r="E67" s="653"/>
      <c r="F67" s="652"/>
      <c r="G67" s="653"/>
      <c r="H67" s="652"/>
      <c r="I67" s="653"/>
      <c r="J67" s="652"/>
      <c r="K67" s="653"/>
      <c r="L67" s="652"/>
      <c r="M67" s="653"/>
      <c r="N67" s="652"/>
      <c r="O67" s="653"/>
      <c r="P67" s="654"/>
      <c r="Q67" s="651"/>
      <c r="R67" s="651"/>
      <c r="S67" s="651"/>
      <c r="T67" s="651"/>
      <c r="U67" s="651"/>
      <c r="V67" s="651"/>
      <c r="W67" s="651"/>
      <c r="X67" s="651"/>
    </row>
    <row r="68" spans="1:24" ht="12" customHeight="1">
      <c r="A68" s="556" t="s">
        <v>120</v>
      </c>
      <c r="B68" s="652">
        <v>356189141</v>
      </c>
      <c r="C68" s="653"/>
      <c r="D68" s="652">
        <v>13290889.459999999</v>
      </c>
      <c r="E68" s="653"/>
      <c r="F68" s="652">
        <v>128352366</v>
      </c>
      <c r="G68" s="653"/>
      <c r="H68" s="652">
        <v>1219347.54</v>
      </c>
      <c r="I68" s="653"/>
      <c r="J68" s="652">
        <v>0</v>
      </c>
      <c r="K68" s="653"/>
      <c r="L68" s="652">
        <v>0</v>
      </c>
      <c r="M68" s="653"/>
      <c r="N68" s="652">
        <v>125549557</v>
      </c>
      <c r="O68" s="653"/>
      <c r="P68" s="654">
        <v>842884.86</v>
      </c>
      <c r="Q68" s="651"/>
      <c r="R68" s="651"/>
      <c r="S68" s="651"/>
      <c r="T68" s="651"/>
      <c r="U68" s="651"/>
      <c r="V68" s="651"/>
      <c r="W68" s="651"/>
      <c r="X68" s="651"/>
    </row>
    <row r="69" spans="1:24" ht="12" customHeight="1">
      <c r="A69" s="556" t="s">
        <v>122</v>
      </c>
      <c r="B69" s="652">
        <v>647371156</v>
      </c>
      <c r="C69" s="653"/>
      <c r="D69" s="652">
        <v>25579609</v>
      </c>
      <c r="E69" s="653"/>
      <c r="F69" s="652">
        <v>139952566</v>
      </c>
      <c r="G69" s="653"/>
      <c r="H69" s="652">
        <v>5583702</v>
      </c>
      <c r="I69" s="653"/>
      <c r="J69" s="652">
        <v>0</v>
      </c>
      <c r="K69" s="653"/>
      <c r="L69" s="652">
        <v>0</v>
      </c>
      <c r="M69" s="653"/>
      <c r="N69" s="652">
        <v>222571868</v>
      </c>
      <c r="O69" s="653"/>
      <c r="P69" s="654">
        <v>1716354</v>
      </c>
      <c r="Q69" s="651"/>
      <c r="R69" s="651"/>
      <c r="S69" s="651"/>
      <c r="T69" s="651"/>
      <c r="U69" s="651"/>
      <c r="V69" s="651"/>
      <c r="W69" s="651"/>
      <c r="X69" s="651"/>
    </row>
    <row r="70" spans="1:24" ht="12" customHeight="1">
      <c r="A70" s="556" t="s">
        <v>124</v>
      </c>
      <c r="B70" s="652">
        <v>69509908</v>
      </c>
      <c r="C70" s="653"/>
      <c r="D70" s="652">
        <v>2308480.62</v>
      </c>
      <c r="E70" s="653"/>
      <c r="F70" s="652">
        <v>16700580</v>
      </c>
      <c r="G70" s="653"/>
      <c r="H70" s="652">
        <v>183706.58</v>
      </c>
      <c r="I70" s="653"/>
      <c r="J70" s="652">
        <v>4580483</v>
      </c>
      <c r="K70" s="653"/>
      <c r="L70" s="652">
        <v>29773.16</v>
      </c>
      <c r="M70" s="653"/>
      <c r="N70" s="652">
        <v>22917533</v>
      </c>
      <c r="O70" s="653"/>
      <c r="P70" s="654">
        <v>110004.16</v>
      </c>
      <c r="Q70" s="651"/>
      <c r="R70" s="651"/>
      <c r="S70" s="651"/>
      <c r="T70" s="651"/>
      <c r="U70" s="651"/>
      <c r="V70" s="651"/>
      <c r="W70" s="651"/>
      <c r="X70" s="651"/>
    </row>
    <row r="71" spans="1:24" ht="12" customHeight="1">
      <c r="A71" s="556" t="s">
        <v>126</v>
      </c>
      <c r="B71" s="652">
        <v>197068515</v>
      </c>
      <c r="C71" s="661"/>
      <c r="D71" s="652">
        <v>6175452.3200000003</v>
      </c>
      <c r="E71" s="661"/>
      <c r="F71" s="652" t="s">
        <v>1093</v>
      </c>
      <c r="G71" s="661"/>
      <c r="H71" s="652">
        <v>172646.37</v>
      </c>
      <c r="I71" s="661"/>
      <c r="J71" s="652">
        <v>0</v>
      </c>
      <c r="K71" s="664"/>
      <c r="L71" s="652">
        <v>0</v>
      </c>
      <c r="M71" s="664"/>
      <c r="N71" s="652">
        <v>259946038</v>
      </c>
      <c r="O71" s="661"/>
      <c r="P71" s="654">
        <v>1302009.0899999999</v>
      </c>
      <c r="Q71" s="651"/>
      <c r="R71" s="651"/>
      <c r="S71" s="651"/>
      <c r="T71" s="651"/>
      <c r="U71" s="651"/>
      <c r="V71" s="651"/>
      <c r="W71" s="651"/>
      <c r="X71" s="651"/>
    </row>
    <row r="72" spans="1:24" ht="12" customHeight="1">
      <c r="A72" s="556" t="s">
        <v>128</v>
      </c>
      <c r="B72" s="652">
        <v>118258188</v>
      </c>
      <c r="C72" s="661"/>
      <c r="D72" s="652">
        <v>3613875.6900000004</v>
      </c>
      <c r="E72" s="661"/>
      <c r="F72" s="652">
        <v>109455935</v>
      </c>
      <c r="G72" s="661"/>
      <c r="H72" s="652">
        <v>1178733.29</v>
      </c>
      <c r="I72" s="661"/>
      <c r="J72" s="652">
        <v>0</v>
      </c>
      <c r="K72" s="661"/>
      <c r="L72" s="652">
        <v>0</v>
      </c>
      <c r="M72" s="661"/>
      <c r="N72" s="652">
        <v>49174290</v>
      </c>
      <c r="O72" s="661"/>
      <c r="P72" s="654">
        <v>332543.34999999998</v>
      </c>
      <c r="Q72" s="651"/>
      <c r="R72" s="651"/>
      <c r="S72" s="651"/>
      <c r="T72" s="651"/>
      <c r="U72" s="651"/>
      <c r="V72" s="651"/>
      <c r="W72" s="651"/>
      <c r="X72" s="651"/>
    </row>
    <row r="73" spans="1:24" ht="8.25" customHeight="1">
      <c r="B73" s="652"/>
      <c r="C73" s="655"/>
      <c r="D73" s="652"/>
      <c r="E73" s="655"/>
      <c r="F73" s="652"/>
      <c r="G73" s="655"/>
      <c r="H73" s="652"/>
      <c r="I73" s="655"/>
      <c r="J73" s="652"/>
      <c r="K73" s="655"/>
      <c r="L73" s="652"/>
      <c r="M73" s="655"/>
      <c r="N73" s="652"/>
      <c r="O73" s="655"/>
      <c r="P73" s="654"/>
      <c r="Q73" s="651"/>
      <c r="R73" s="651"/>
      <c r="S73" s="651"/>
      <c r="T73" s="651"/>
      <c r="U73" s="651"/>
      <c r="V73" s="651"/>
      <c r="W73" s="651"/>
      <c r="X73" s="651"/>
    </row>
    <row r="74" spans="1:24" ht="12" customHeight="1">
      <c r="A74" s="556" t="s">
        <v>130</v>
      </c>
      <c r="B74" s="652">
        <v>145624366</v>
      </c>
      <c r="C74" s="661"/>
      <c r="D74" s="652">
        <v>2591215.5500000003</v>
      </c>
      <c r="E74" s="661"/>
      <c r="F74" s="652">
        <v>181750</v>
      </c>
      <c r="G74" s="661"/>
      <c r="H74" s="652">
        <v>2762.6</v>
      </c>
      <c r="I74" s="661"/>
      <c r="J74" s="652">
        <v>12081091</v>
      </c>
      <c r="K74" s="661"/>
      <c r="L74" s="652">
        <v>120810.91</v>
      </c>
      <c r="M74" s="661"/>
      <c r="N74" s="652">
        <v>44173669</v>
      </c>
      <c r="O74" s="661"/>
      <c r="P74" s="654">
        <v>177246.34</v>
      </c>
      <c r="Q74" s="651"/>
      <c r="R74" s="651"/>
      <c r="S74" s="651"/>
      <c r="T74" s="651"/>
      <c r="U74" s="651"/>
      <c r="V74" s="651"/>
      <c r="W74" s="651"/>
      <c r="X74" s="651"/>
    </row>
    <row r="75" spans="1:24" ht="12" customHeight="1">
      <c r="A75" s="556" t="s">
        <v>132</v>
      </c>
      <c r="B75" s="652">
        <v>162370950</v>
      </c>
      <c r="C75" s="661"/>
      <c r="D75" s="652">
        <v>3048098.17</v>
      </c>
      <c r="E75" s="661"/>
      <c r="F75" s="652">
        <v>38771386</v>
      </c>
      <c r="G75" s="661"/>
      <c r="H75" s="652">
        <v>775427.72</v>
      </c>
      <c r="I75" s="664"/>
      <c r="J75" s="652">
        <v>5311700</v>
      </c>
      <c r="K75" s="661"/>
      <c r="L75" s="652">
        <v>74895.03</v>
      </c>
      <c r="M75" s="661"/>
      <c r="N75" s="652">
        <v>65596616</v>
      </c>
      <c r="O75" s="661"/>
      <c r="P75" s="654">
        <v>433997.13</v>
      </c>
      <c r="Q75" s="651"/>
      <c r="R75" s="651"/>
      <c r="S75" s="651"/>
      <c r="T75" s="651"/>
      <c r="U75" s="651"/>
      <c r="V75" s="651"/>
      <c r="W75" s="651"/>
      <c r="X75" s="651"/>
    </row>
    <row r="76" spans="1:24" ht="12" customHeight="1">
      <c r="A76" s="556" t="s">
        <v>134</v>
      </c>
      <c r="B76" s="652">
        <v>4212013010</v>
      </c>
      <c r="C76" s="661"/>
      <c r="D76" s="652">
        <v>159704685.03</v>
      </c>
      <c r="E76" s="661"/>
      <c r="F76" s="652">
        <v>62843710</v>
      </c>
      <c r="G76" s="661"/>
      <c r="H76" s="652">
        <v>2043446.5099999998</v>
      </c>
      <c r="I76" s="661"/>
      <c r="J76" s="652">
        <v>0</v>
      </c>
      <c r="K76" s="664"/>
      <c r="L76" s="652">
        <v>0</v>
      </c>
      <c r="M76" s="664"/>
      <c r="N76" s="652">
        <v>1788318946</v>
      </c>
      <c r="O76" s="661"/>
      <c r="P76" s="654">
        <v>23221550.25</v>
      </c>
      <c r="Q76" s="651"/>
      <c r="R76" s="651"/>
      <c r="S76" s="651"/>
      <c r="T76" s="651"/>
      <c r="U76" s="651"/>
      <c r="V76" s="651"/>
      <c r="W76" s="651"/>
      <c r="X76" s="651"/>
    </row>
    <row r="77" spans="1:24" ht="12" customHeight="1">
      <c r="A77" s="556" t="s">
        <v>136</v>
      </c>
      <c r="B77" s="652">
        <v>319135105</v>
      </c>
      <c r="C77" s="661"/>
      <c r="D77" s="652">
        <v>5891462.0099999998</v>
      </c>
      <c r="E77" s="661"/>
      <c r="F77" s="652">
        <v>16881475</v>
      </c>
      <c r="G77" s="661"/>
      <c r="H77" s="652">
        <v>320748.03999999998</v>
      </c>
      <c r="I77" s="661"/>
      <c r="J77" s="652">
        <v>69064480</v>
      </c>
      <c r="K77" s="661"/>
      <c r="L77" s="652">
        <v>448919.38</v>
      </c>
      <c r="M77" s="661"/>
      <c r="N77" s="652">
        <v>2511591030</v>
      </c>
      <c r="O77" s="661"/>
      <c r="P77" s="654">
        <v>15580819.98</v>
      </c>
      <c r="Q77" s="651"/>
      <c r="R77" s="651"/>
      <c r="S77" s="651"/>
      <c r="T77" s="651"/>
      <c r="U77" s="651"/>
      <c r="V77" s="651"/>
      <c r="W77" s="651"/>
      <c r="X77" s="651"/>
    </row>
    <row r="78" spans="1:24" ht="12" customHeight="1">
      <c r="A78" s="556" t="s">
        <v>138</v>
      </c>
      <c r="B78" s="652">
        <v>82743586</v>
      </c>
      <c r="C78" s="661"/>
      <c r="D78" s="652">
        <v>2749029.7199999997</v>
      </c>
      <c r="E78" s="661"/>
      <c r="F78" s="652">
        <v>22576010</v>
      </c>
      <c r="G78" s="661"/>
      <c r="H78" s="652">
        <v>290288.46000000002</v>
      </c>
      <c r="I78" s="661"/>
      <c r="J78" s="652">
        <v>5365210</v>
      </c>
      <c r="K78" s="661"/>
      <c r="L78" s="652">
        <v>64382.52</v>
      </c>
      <c r="M78" s="661"/>
      <c r="N78" s="652">
        <v>39872640</v>
      </c>
      <c r="O78" s="661"/>
      <c r="P78" s="654">
        <v>143540.5</v>
      </c>
      <c r="Q78" s="651"/>
      <c r="R78" s="651"/>
      <c r="S78" s="651"/>
      <c r="T78" s="651"/>
      <c r="U78" s="651"/>
      <c r="V78" s="651"/>
      <c r="W78" s="651"/>
      <c r="X78" s="651"/>
    </row>
    <row r="79" spans="1:24" ht="8.25" customHeight="1">
      <c r="B79" s="652"/>
      <c r="C79" s="661"/>
      <c r="D79" s="652"/>
      <c r="E79" s="661"/>
      <c r="F79" s="652"/>
      <c r="G79" s="661"/>
      <c r="H79" s="652"/>
      <c r="I79" s="661"/>
      <c r="J79" s="652"/>
      <c r="K79" s="661"/>
      <c r="L79" s="652"/>
      <c r="M79" s="661"/>
      <c r="N79" s="652"/>
      <c r="O79" s="661"/>
      <c r="P79" s="654"/>
      <c r="Q79" s="651"/>
      <c r="R79" s="651"/>
      <c r="S79" s="651"/>
      <c r="T79" s="651"/>
      <c r="U79" s="651"/>
      <c r="V79" s="651"/>
      <c r="W79" s="651"/>
      <c r="X79" s="651"/>
    </row>
    <row r="80" spans="1:24" ht="12" customHeight="1">
      <c r="A80" s="556" t="s">
        <v>140</v>
      </c>
      <c r="B80" s="652">
        <v>117073578</v>
      </c>
      <c r="C80" s="661"/>
      <c r="D80" s="652">
        <v>3686204.54</v>
      </c>
      <c r="E80" s="661"/>
      <c r="F80" s="652">
        <v>4486051</v>
      </c>
      <c r="G80" s="661"/>
      <c r="H80" s="652">
        <v>72674.06</v>
      </c>
      <c r="I80" s="661"/>
      <c r="J80" s="652">
        <v>24618756</v>
      </c>
      <c r="K80" s="661"/>
      <c r="L80" s="652">
        <v>211721.31</v>
      </c>
      <c r="M80" s="661"/>
      <c r="N80" s="652">
        <v>47248097</v>
      </c>
      <c r="O80" s="661"/>
      <c r="P80" s="654">
        <v>236360.79</v>
      </c>
      <c r="Q80" s="651"/>
      <c r="R80" s="651"/>
      <c r="S80" s="651"/>
      <c r="T80" s="651"/>
      <c r="U80" s="651"/>
      <c r="V80" s="651"/>
      <c r="W80" s="651"/>
      <c r="X80" s="651"/>
    </row>
    <row r="81" spans="1:24" ht="12" customHeight="1">
      <c r="A81" s="556" t="s">
        <v>1103</v>
      </c>
      <c r="B81" s="659"/>
      <c r="C81" s="653"/>
      <c r="D81" s="659"/>
      <c r="E81" s="653"/>
      <c r="F81" s="659"/>
      <c r="G81" s="653"/>
      <c r="H81" s="659"/>
      <c r="I81" s="653"/>
      <c r="J81" s="659"/>
      <c r="K81" s="653"/>
      <c r="L81" s="659"/>
      <c r="M81" s="653"/>
      <c r="N81" s="659"/>
      <c r="O81" s="653"/>
      <c r="P81" s="659"/>
      <c r="Q81" s="651"/>
      <c r="R81" s="651"/>
      <c r="S81" s="651"/>
      <c r="T81" s="651"/>
      <c r="U81" s="651"/>
      <c r="V81" s="651"/>
      <c r="W81" s="651"/>
      <c r="X81" s="651"/>
    </row>
    <row r="82" spans="1:24" ht="12" customHeight="1">
      <c r="A82" s="556" t="s">
        <v>144</v>
      </c>
      <c r="B82" s="652">
        <v>302404381</v>
      </c>
      <c r="C82" s="661"/>
      <c r="D82" s="652">
        <v>9305078.540000001</v>
      </c>
      <c r="E82" s="661"/>
      <c r="F82" s="652">
        <v>85464853</v>
      </c>
      <c r="G82" s="661"/>
      <c r="H82" s="652">
        <v>564068.02980000002</v>
      </c>
      <c r="I82" s="661"/>
      <c r="J82" s="652">
        <v>54893378</v>
      </c>
      <c r="K82" s="661"/>
      <c r="L82" s="652">
        <v>395233.76</v>
      </c>
      <c r="M82" s="661"/>
      <c r="N82" s="652">
        <v>245176214</v>
      </c>
      <c r="O82" s="661"/>
      <c r="P82" s="654">
        <v>922988.3676</v>
      </c>
      <c r="Q82" s="651"/>
      <c r="R82" s="651"/>
      <c r="S82" s="651"/>
      <c r="T82" s="651"/>
      <c r="U82" s="651"/>
      <c r="V82" s="651"/>
      <c r="W82" s="651"/>
      <c r="X82" s="651"/>
    </row>
    <row r="83" spans="1:24" ht="12" customHeight="1">
      <c r="A83" s="556" t="s">
        <v>146</v>
      </c>
      <c r="B83" s="652">
        <v>111893276</v>
      </c>
      <c r="C83" s="661"/>
      <c r="D83" s="652">
        <v>3476985</v>
      </c>
      <c r="E83" s="661"/>
      <c r="F83" s="652">
        <v>170336</v>
      </c>
      <c r="G83" s="661"/>
      <c r="H83" s="652">
        <v>2981</v>
      </c>
      <c r="I83" s="661"/>
      <c r="J83" s="652">
        <v>0</v>
      </c>
      <c r="K83" s="661"/>
      <c r="L83" s="652">
        <v>0</v>
      </c>
      <c r="M83" s="661"/>
      <c r="N83" s="652">
        <v>38933549</v>
      </c>
      <c r="O83" s="661"/>
      <c r="P83" s="654">
        <v>167411.04999999999</v>
      </c>
      <c r="Q83" s="651"/>
      <c r="R83" s="651"/>
      <c r="S83" s="651"/>
      <c r="T83" s="651"/>
      <c r="U83" s="651"/>
      <c r="V83" s="651"/>
      <c r="W83" s="651"/>
      <c r="X83" s="651"/>
    </row>
    <row r="84" spans="1:24" ht="12" customHeight="1">
      <c r="A84" s="556" t="s">
        <v>148</v>
      </c>
      <c r="B84" s="652">
        <v>566954881</v>
      </c>
      <c r="C84" s="653"/>
      <c r="D84" s="652">
        <v>13420480.5845</v>
      </c>
      <c r="E84" s="653"/>
      <c r="F84" s="652">
        <v>113349970</v>
      </c>
      <c r="G84" s="653"/>
      <c r="H84" s="652">
        <v>2062969.4540000001</v>
      </c>
      <c r="I84" s="653"/>
      <c r="J84" s="652">
        <v>30263200</v>
      </c>
      <c r="K84" s="653"/>
      <c r="L84" s="652">
        <v>923027.6</v>
      </c>
      <c r="M84" s="653"/>
      <c r="N84" s="652">
        <v>208366344</v>
      </c>
      <c r="O84" s="653"/>
      <c r="P84" s="654">
        <v>1570221.2220000001</v>
      </c>
      <c r="Q84" s="651"/>
      <c r="R84" s="651"/>
      <c r="S84" s="651"/>
      <c r="T84" s="651"/>
      <c r="U84" s="651"/>
      <c r="V84" s="651"/>
      <c r="W84" s="651"/>
      <c r="X84" s="651"/>
    </row>
    <row r="85" spans="1:24" ht="15">
      <c r="A85" s="638" t="s">
        <v>999</v>
      </c>
      <c r="B85" s="639"/>
      <c r="C85" s="606"/>
      <c r="D85" s="639"/>
      <c r="E85" s="606"/>
      <c r="F85" s="639"/>
      <c r="G85" s="606"/>
      <c r="H85" s="639"/>
      <c r="I85" s="606"/>
      <c r="J85" s="639"/>
      <c r="K85" s="606"/>
      <c r="L85" s="639"/>
      <c r="M85" s="606"/>
      <c r="N85" s="639"/>
      <c r="O85" s="606"/>
      <c r="P85" s="639"/>
      <c r="Q85" s="615"/>
      <c r="R85" s="615"/>
      <c r="S85" s="615"/>
      <c r="T85" s="615"/>
      <c r="U85" s="615"/>
      <c r="V85" s="615"/>
      <c r="W85" s="615"/>
      <c r="X85" s="615"/>
    </row>
    <row r="86" spans="1:24" ht="12.75">
      <c r="A86" s="640" t="s">
        <v>967</v>
      </c>
      <c r="B86" s="641"/>
      <c r="C86" s="641"/>
      <c r="D86" s="641"/>
      <c r="E86" s="641"/>
      <c r="F86" s="641"/>
      <c r="G86" s="641"/>
      <c r="H86" s="641"/>
      <c r="I86" s="641"/>
      <c r="J86" s="641"/>
      <c r="K86" s="641"/>
      <c r="L86" s="641"/>
      <c r="M86" s="641"/>
      <c r="N86" s="641"/>
      <c r="O86" s="641"/>
      <c r="P86" s="641"/>
      <c r="Q86" s="642"/>
      <c r="R86" s="642"/>
      <c r="S86" s="642"/>
      <c r="T86" s="642"/>
      <c r="U86" s="642"/>
      <c r="V86" s="642"/>
      <c r="W86" s="642"/>
      <c r="X86" s="642"/>
    </row>
    <row r="87" spans="1:24" ht="12.75">
      <c r="A87" s="850" t="s">
        <v>1070</v>
      </c>
      <c r="B87" s="561"/>
      <c r="C87" s="561"/>
      <c r="D87" s="561"/>
      <c r="E87" s="561"/>
      <c r="F87" s="561"/>
      <c r="G87" s="561"/>
      <c r="H87" s="561"/>
      <c r="I87" s="561"/>
      <c r="J87" s="561"/>
      <c r="K87" s="561"/>
      <c r="L87" s="561"/>
      <c r="M87" s="561"/>
      <c r="N87" s="561"/>
      <c r="O87" s="561"/>
      <c r="P87" s="561"/>
      <c r="Q87" s="643"/>
      <c r="R87" s="643"/>
      <c r="S87" s="643"/>
      <c r="T87" s="643"/>
      <c r="U87" s="643"/>
      <c r="V87" s="643"/>
      <c r="W87" s="643"/>
      <c r="X87" s="643"/>
    </row>
    <row r="88" spans="1:24" ht="11.25" customHeight="1" thickBot="1">
      <c r="A88" s="562"/>
      <c r="B88" s="562"/>
      <c r="C88" s="562"/>
      <c r="D88" s="562"/>
      <c r="E88" s="562"/>
      <c r="F88" s="562"/>
      <c r="G88" s="562"/>
      <c r="H88" s="562"/>
      <c r="I88" s="562"/>
      <c r="J88" s="562"/>
      <c r="K88" s="562"/>
      <c r="L88" s="562"/>
      <c r="M88" s="562"/>
      <c r="N88" s="562"/>
      <c r="O88" s="562"/>
      <c r="P88" s="562"/>
      <c r="Q88" s="643"/>
      <c r="R88" s="643"/>
      <c r="S88" s="643"/>
      <c r="T88" s="643"/>
      <c r="U88" s="643"/>
      <c r="V88" s="643"/>
      <c r="W88" s="643"/>
      <c r="X88" s="643"/>
    </row>
    <row r="89" spans="1:24" ht="14.25" customHeight="1">
      <c r="A89" s="606"/>
      <c r="B89" s="1091" t="s">
        <v>968</v>
      </c>
      <c r="C89" s="1091"/>
      <c r="D89" s="1091"/>
      <c r="E89" s="606"/>
      <c r="F89" s="1091" t="s">
        <v>969</v>
      </c>
      <c r="G89" s="1091"/>
      <c r="H89" s="1091"/>
      <c r="I89" s="606"/>
      <c r="J89" s="1091" t="s">
        <v>970</v>
      </c>
      <c r="K89" s="1091"/>
      <c r="L89" s="1091"/>
      <c r="M89" s="606"/>
      <c r="N89" s="1091" t="s">
        <v>971</v>
      </c>
      <c r="O89" s="1091"/>
      <c r="P89" s="1091"/>
      <c r="Q89" s="644"/>
      <c r="R89" s="644"/>
      <c r="S89" s="644"/>
      <c r="T89" s="644"/>
      <c r="U89" s="644"/>
      <c r="V89" s="644"/>
      <c r="W89" s="644"/>
      <c r="X89" s="644"/>
    </row>
    <row r="90" spans="1:24" ht="12" customHeight="1">
      <c r="A90" s="645" t="s">
        <v>33</v>
      </c>
      <c r="B90" s="646" t="s">
        <v>972</v>
      </c>
      <c r="C90" s="563"/>
      <c r="D90" s="646" t="s">
        <v>973</v>
      </c>
      <c r="E90" s="563"/>
      <c r="F90" s="646" t="s">
        <v>972</v>
      </c>
      <c r="G90" s="563"/>
      <c r="H90" s="646" t="s">
        <v>973</v>
      </c>
      <c r="I90" s="563"/>
      <c r="J90" s="646" t="s">
        <v>972</v>
      </c>
      <c r="K90" s="563"/>
      <c r="L90" s="646" t="s">
        <v>973</v>
      </c>
      <c r="M90" s="563"/>
      <c r="N90" s="646" t="s">
        <v>972</v>
      </c>
      <c r="O90" s="563"/>
      <c r="P90" s="646" t="s">
        <v>973</v>
      </c>
      <c r="Q90" s="647"/>
      <c r="R90" s="647"/>
      <c r="S90" s="647"/>
      <c r="T90" s="647"/>
      <c r="U90" s="647"/>
      <c r="V90" s="647"/>
      <c r="W90" s="647"/>
      <c r="X90" s="647"/>
    </row>
    <row r="91" spans="1:24" ht="8.25" customHeight="1">
      <c r="B91" s="652"/>
      <c r="C91" s="655"/>
      <c r="D91" s="652"/>
      <c r="E91" s="655"/>
      <c r="F91" s="652"/>
      <c r="G91" s="655"/>
      <c r="H91" s="652"/>
      <c r="I91" s="655"/>
      <c r="J91" s="652"/>
      <c r="K91" s="655"/>
      <c r="L91" s="652"/>
      <c r="M91" s="655"/>
      <c r="N91" s="652"/>
      <c r="O91" s="655"/>
      <c r="P91" s="654"/>
      <c r="Q91" s="651"/>
      <c r="R91" s="651"/>
      <c r="S91" s="651"/>
      <c r="T91" s="651"/>
      <c r="U91" s="651"/>
      <c r="V91" s="651"/>
      <c r="W91" s="651"/>
      <c r="X91" s="651"/>
    </row>
    <row r="92" spans="1:24" ht="12" customHeight="1">
      <c r="A92" s="556" t="s">
        <v>150</v>
      </c>
      <c r="B92" s="648">
        <v>140883642</v>
      </c>
      <c r="C92" s="649"/>
      <c r="D92" s="648">
        <v>3959573.48</v>
      </c>
      <c r="E92" s="649"/>
      <c r="F92" s="648">
        <v>546755</v>
      </c>
      <c r="G92" s="649"/>
      <c r="H92" s="648">
        <v>6834.46</v>
      </c>
      <c r="I92" s="649"/>
      <c r="J92" s="648">
        <v>0</v>
      </c>
      <c r="K92" s="649"/>
      <c r="L92" s="648">
        <v>0</v>
      </c>
      <c r="M92" s="649"/>
      <c r="N92" s="648">
        <v>99614737</v>
      </c>
      <c r="O92" s="649"/>
      <c r="P92" s="650">
        <v>580594.55000000005</v>
      </c>
      <c r="Q92" s="651"/>
      <c r="R92" s="651"/>
      <c r="S92" s="651"/>
      <c r="T92" s="651"/>
      <c r="U92" s="651"/>
      <c r="V92" s="651"/>
      <c r="W92" s="651"/>
      <c r="X92" s="651"/>
    </row>
    <row r="93" spans="1:24" ht="12" customHeight="1">
      <c r="A93" s="556" t="s">
        <v>152</v>
      </c>
      <c r="B93" s="653">
        <v>169579540</v>
      </c>
      <c r="C93" s="653"/>
      <c r="D93" s="653">
        <v>6180866.8299999991</v>
      </c>
      <c r="E93" s="653"/>
      <c r="F93" s="653">
        <v>411632</v>
      </c>
      <c r="G93" s="653"/>
      <c r="H93" s="653">
        <v>6174.49</v>
      </c>
      <c r="I93" s="653"/>
      <c r="J93" s="653">
        <v>0</v>
      </c>
      <c r="K93" s="653"/>
      <c r="L93" s="653">
        <v>0</v>
      </c>
      <c r="M93" s="653"/>
      <c r="N93" s="653">
        <v>97839996</v>
      </c>
      <c r="O93" s="653"/>
      <c r="P93" s="653">
        <v>685549.14</v>
      </c>
      <c r="Q93" s="651"/>
      <c r="R93" s="651"/>
      <c r="S93" s="651"/>
      <c r="T93" s="651"/>
      <c r="U93" s="651"/>
      <c r="V93" s="651"/>
      <c r="W93" s="651"/>
      <c r="X93" s="651"/>
    </row>
    <row r="94" spans="1:24" ht="12" customHeight="1">
      <c r="A94" s="556" t="s">
        <v>154</v>
      </c>
      <c r="B94" s="653">
        <v>128283300</v>
      </c>
      <c r="C94" s="661"/>
      <c r="D94" s="653">
        <v>4639922.8199999994</v>
      </c>
      <c r="E94" s="661"/>
      <c r="F94" s="653">
        <v>4971000</v>
      </c>
      <c r="G94" s="661"/>
      <c r="H94" s="653">
        <v>111847.5</v>
      </c>
      <c r="I94" s="661"/>
      <c r="J94" s="653">
        <v>0</v>
      </c>
      <c r="K94" s="661"/>
      <c r="L94" s="653">
        <v>0</v>
      </c>
      <c r="M94" s="661"/>
      <c r="N94" s="653">
        <v>52038600</v>
      </c>
      <c r="O94" s="661"/>
      <c r="P94" s="653">
        <v>271212.48</v>
      </c>
      <c r="Q94" s="651"/>
      <c r="R94" s="651"/>
      <c r="S94" s="651"/>
      <c r="T94" s="651"/>
      <c r="U94" s="651"/>
      <c r="V94" s="651"/>
      <c r="W94" s="651"/>
      <c r="X94" s="651"/>
    </row>
    <row r="95" spans="1:24" ht="12" customHeight="1">
      <c r="A95" s="556" t="s">
        <v>156</v>
      </c>
      <c r="B95" s="653">
        <v>106715905</v>
      </c>
      <c r="C95" s="661"/>
      <c r="D95" s="653">
        <v>3628990</v>
      </c>
      <c r="E95" s="661"/>
      <c r="F95" s="653">
        <v>5161162</v>
      </c>
      <c r="G95" s="661"/>
      <c r="H95" s="653">
        <v>185802</v>
      </c>
      <c r="I95" s="661"/>
      <c r="J95" s="653">
        <v>4939229</v>
      </c>
      <c r="K95" s="661"/>
      <c r="L95" s="653">
        <v>49392</v>
      </c>
      <c r="M95" s="661"/>
      <c r="N95" s="653">
        <v>45441422</v>
      </c>
      <c r="O95" s="661"/>
      <c r="P95" s="653">
        <v>181766</v>
      </c>
      <c r="Q95" s="651"/>
      <c r="R95" s="651"/>
      <c r="S95" s="651"/>
      <c r="T95" s="651"/>
      <c r="U95" s="651"/>
      <c r="V95" s="651"/>
      <c r="W95" s="651"/>
      <c r="X95" s="651"/>
    </row>
    <row r="96" spans="1:24" ht="12" customHeight="1">
      <c r="A96" s="556" t="s">
        <v>158</v>
      </c>
      <c r="B96" s="653">
        <v>76294674</v>
      </c>
      <c r="C96" s="661"/>
      <c r="D96" s="653">
        <v>2552264.04</v>
      </c>
      <c r="E96" s="661"/>
      <c r="F96" s="653">
        <v>12647738</v>
      </c>
      <c r="G96" s="661"/>
      <c r="H96" s="653">
        <v>170744.47</v>
      </c>
      <c r="I96" s="661"/>
      <c r="J96" s="653">
        <v>0</v>
      </c>
      <c r="K96" s="664"/>
      <c r="L96" s="653">
        <v>0</v>
      </c>
      <c r="M96" s="664"/>
      <c r="N96" s="653">
        <v>72467929</v>
      </c>
      <c r="O96" s="661"/>
      <c r="P96" s="653">
        <v>355092.86</v>
      </c>
      <c r="Q96" s="651"/>
      <c r="R96" s="651"/>
      <c r="S96" s="651"/>
      <c r="T96" s="651"/>
      <c r="U96" s="651"/>
      <c r="V96" s="651"/>
      <c r="W96" s="651"/>
      <c r="X96" s="651"/>
    </row>
    <row r="97" spans="1:24" ht="8.25" customHeight="1">
      <c r="B97" s="653"/>
      <c r="C97" s="661"/>
      <c r="D97" s="653"/>
      <c r="E97" s="661"/>
      <c r="F97" s="653"/>
      <c r="G97" s="661"/>
      <c r="H97" s="653"/>
      <c r="I97" s="661"/>
      <c r="J97" s="653"/>
      <c r="K97" s="664"/>
      <c r="L97" s="653"/>
      <c r="M97" s="664"/>
      <c r="N97" s="653"/>
      <c r="O97" s="661"/>
      <c r="P97" s="653"/>
      <c r="Q97" s="667"/>
      <c r="R97" s="667"/>
      <c r="S97" s="667"/>
      <c r="T97" s="667"/>
      <c r="U97" s="667"/>
      <c r="V97" s="667"/>
      <c r="W97" s="667"/>
      <c r="X97" s="667"/>
    </row>
    <row r="98" spans="1:24" ht="12" customHeight="1">
      <c r="A98" s="556" t="s">
        <v>160</v>
      </c>
      <c r="B98" s="653">
        <v>284953634</v>
      </c>
      <c r="C98" s="661"/>
      <c r="D98" s="653">
        <v>8585710.2100000009</v>
      </c>
      <c r="E98" s="661"/>
      <c r="F98" s="653">
        <v>46085277</v>
      </c>
      <c r="G98" s="661"/>
      <c r="H98" s="653">
        <v>843821.42</v>
      </c>
      <c r="I98" s="661"/>
      <c r="J98" s="653">
        <v>33750695</v>
      </c>
      <c r="K98" s="661"/>
      <c r="L98" s="653">
        <v>135002.78</v>
      </c>
      <c r="M98" s="661"/>
      <c r="N98" s="653">
        <v>146526405</v>
      </c>
      <c r="O98" s="661"/>
      <c r="P98" s="653">
        <v>724522.88</v>
      </c>
      <c r="Q98" s="651"/>
      <c r="R98" s="651"/>
      <c r="S98" s="651"/>
      <c r="T98" s="651"/>
      <c r="U98" s="651"/>
      <c r="V98" s="651"/>
      <c r="W98" s="651"/>
      <c r="X98" s="651"/>
    </row>
    <row r="99" spans="1:24" ht="12" customHeight="1">
      <c r="A99" s="556" t="s">
        <v>162</v>
      </c>
      <c r="B99" s="653">
        <v>190111095</v>
      </c>
      <c r="C99" s="661"/>
      <c r="D99" s="653">
        <v>7517894.0500000007</v>
      </c>
      <c r="E99" s="661"/>
      <c r="F99" s="653">
        <v>24408430</v>
      </c>
      <c r="G99" s="661"/>
      <c r="H99" s="653">
        <v>488168.6</v>
      </c>
      <c r="I99" s="661"/>
      <c r="J99" s="653">
        <v>0</v>
      </c>
      <c r="K99" s="664"/>
      <c r="L99" s="653">
        <v>0</v>
      </c>
      <c r="M99" s="664"/>
      <c r="N99" s="653">
        <v>57076232</v>
      </c>
      <c r="O99" s="661"/>
      <c r="P99" s="653">
        <v>384271.12</v>
      </c>
      <c r="Q99" s="651"/>
      <c r="R99" s="651"/>
      <c r="S99" s="651"/>
      <c r="T99" s="651"/>
      <c r="U99" s="651"/>
      <c r="V99" s="651"/>
      <c r="W99" s="651"/>
      <c r="X99" s="651"/>
    </row>
    <row r="100" spans="1:24" ht="12" customHeight="1">
      <c r="A100" s="556" t="s">
        <v>163</v>
      </c>
      <c r="B100" s="653">
        <v>161666824</v>
      </c>
      <c r="C100" s="661"/>
      <c r="D100" s="653">
        <v>2561908.87</v>
      </c>
      <c r="E100" s="661"/>
      <c r="F100" s="653">
        <v>33603847</v>
      </c>
      <c r="G100" s="661"/>
      <c r="H100" s="653">
        <v>574625.77</v>
      </c>
      <c r="I100" s="661"/>
      <c r="J100" s="652">
        <v>0</v>
      </c>
      <c r="K100" s="664"/>
      <c r="L100" s="653">
        <v>0</v>
      </c>
      <c r="M100" s="664"/>
      <c r="N100" s="653">
        <v>51711665</v>
      </c>
      <c r="O100" s="661"/>
      <c r="P100" s="653">
        <v>248314.11</v>
      </c>
      <c r="Q100" s="651"/>
      <c r="R100" s="651"/>
      <c r="S100" s="651"/>
      <c r="T100" s="651"/>
      <c r="U100" s="651"/>
      <c r="V100" s="651"/>
      <c r="W100" s="651"/>
      <c r="X100" s="651"/>
    </row>
    <row r="101" spans="1:24" ht="12" customHeight="1">
      <c r="A101" s="556" t="s">
        <v>165</v>
      </c>
      <c r="B101" s="653">
        <v>160134165</v>
      </c>
      <c r="C101" s="661"/>
      <c r="D101" s="653">
        <v>9806125.1899999995</v>
      </c>
      <c r="E101" s="661"/>
      <c r="F101" s="653">
        <v>34414310</v>
      </c>
      <c r="G101" s="661"/>
      <c r="H101" s="653">
        <v>1548643.99</v>
      </c>
      <c r="I101" s="661"/>
      <c r="J101" s="653">
        <v>8177900</v>
      </c>
      <c r="K101" s="661"/>
      <c r="L101" s="653">
        <v>224893.07</v>
      </c>
      <c r="M101" s="661"/>
      <c r="N101" s="653">
        <v>325017542</v>
      </c>
      <c r="O101" s="661"/>
      <c r="P101" s="653">
        <v>1777232.48</v>
      </c>
      <c r="Q101" s="651"/>
      <c r="R101" s="651"/>
      <c r="S101" s="651"/>
      <c r="T101" s="651"/>
      <c r="U101" s="651"/>
      <c r="V101" s="651"/>
      <c r="W101" s="651"/>
      <c r="X101" s="651"/>
    </row>
    <row r="102" spans="1:24" ht="12" customHeight="1">
      <c r="A102" s="556" t="s">
        <v>167</v>
      </c>
      <c r="B102" s="653">
        <v>213857862</v>
      </c>
      <c r="C102" s="661"/>
      <c r="D102" s="653">
        <v>7655294.4900000002</v>
      </c>
      <c r="E102" s="661"/>
      <c r="F102" s="653">
        <v>9499930</v>
      </c>
      <c r="G102" s="661"/>
      <c r="H102" s="653">
        <v>341997.48</v>
      </c>
      <c r="I102" s="661"/>
      <c r="J102" s="653">
        <v>0</v>
      </c>
      <c r="K102" s="661"/>
      <c r="L102" s="653">
        <v>0</v>
      </c>
      <c r="M102" s="661"/>
      <c r="N102" s="653">
        <v>90184332</v>
      </c>
      <c r="O102" s="661"/>
      <c r="P102" s="653">
        <v>697871.99</v>
      </c>
      <c r="Q102" s="651"/>
      <c r="R102" s="651"/>
      <c r="S102" s="651"/>
      <c r="T102" s="651"/>
      <c r="U102" s="651"/>
      <c r="V102" s="651"/>
      <c r="W102" s="651"/>
      <c r="X102" s="651"/>
    </row>
    <row r="103" spans="1:24" ht="8.25" customHeight="1">
      <c r="B103" s="659"/>
      <c r="C103" s="655"/>
      <c r="D103" s="659"/>
      <c r="E103" s="655"/>
      <c r="F103" s="659"/>
      <c r="G103" s="655"/>
      <c r="H103" s="659"/>
      <c r="I103" s="655"/>
      <c r="J103" s="659"/>
      <c r="K103" s="655"/>
      <c r="L103" s="659"/>
      <c r="M103" s="655"/>
      <c r="N103" s="659"/>
      <c r="O103" s="655"/>
      <c r="P103" s="666"/>
      <c r="Q103" s="651"/>
      <c r="R103" s="651"/>
      <c r="S103" s="651"/>
      <c r="T103" s="651"/>
      <c r="U103" s="651"/>
      <c r="V103" s="651"/>
      <c r="W103" s="651"/>
      <c r="X103" s="651"/>
    </row>
    <row r="104" spans="1:24" ht="12" customHeight="1">
      <c r="A104" s="556" t="s">
        <v>168</v>
      </c>
      <c r="B104" s="653">
        <v>112573559</v>
      </c>
      <c r="C104" s="653"/>
      <c r="D104" s="653">
        <v>4672213.17</v>
      </c>
      <c r="E104" s="653"/>
      <c r="F104" s="653">
        <v>740675</v>
      </c>
      <c r="G104" s="653"/>
      <c r="H104" s="653">
        <v>31108.35</v>
      </c>
      <c r="I104" s="653"/>
      <c r="J104" s="653">
        <v>60241050</v>
      </c>
      <c r="K104" s="653"/>
      <c r="L104" s="653">
        <v>421687.35</v>
      </c>
      <c r="M104" s="653"/>
      <c r="N104" s="653">
        <v>66704405</v>
      </c>
      <c r="O104" s="653"/>
      <c r="P104" s="653">
        <v>290853.67</v>
      </c>
      <c r="Q104" s="651"/>
      <c r="R104" s="651"/>
      <c r="S104" s="651"/>
      <c r="T104" s="651"/>
      <c r="U104" s="651"/>
      <c r="V104" s="651"/>
      <c r="W104" s="651"/>
      <c r="X104" s="651"/>
    </row>
    <row r="105" spans="1:24" ht="12" customHeight="1">
      <c r="A105" s="556" t="s">
        <v>170</v>
      </c>
      <c r="B105" s="653">
        <v>251873759</v>
      </c>
      <c r="C105" s="661"/>
      <c r="D105" s="653">
        <v>9671596.4199999999</v>
      </c>
      <c r="E105" s="661"/>
      <c r="F105" s="653">
        <v>22779215</v>
      </c>
      <c r="G105" s="661"/>
      <c r="H105" s="653">
        <v>341689.01</v>
      </c>
      <c r="I105" s="661"/>
      <c r="J105" s="653">
        <v>0</v>
      </c>
      <c r="K105" s="664"/>
      <c r="L105" s="653">
        <v>0</v>
      </c>
      <c r="M105" s="664"/>
      <c r="N105" s="653">
        <v>104214656</v>
      </c>
      <c r="O105" s="661"/>
      <c r="P105" s="653">
        <v>833717.24</v>
      </c>
      <c r="Q105" s="651"/>
      <c r="R105" s="651"/>
      <c r="S105" s="651"/>
      <c r="T105" s="651"/>
      <c r="U105" s="651"/>
      <c r="V105" s="651"/>
      <c r="W105" s="651"/>
      <c r="X105" s="651"/>
    </row>
    <row r="106" spans="1:24" ht="12" customHeight="1">
      <c r="A106" s="556" t="s">
        <v>172</v>
      </c>
      <c r="B106" s="653">
        <v>3729499375</v>
      </c>
      <c r="C106" s="661"/>
      <c r="D106" s="653">
        <v>132460082.99000001</v>
      </c>
      <c r="E106" s="661"/>
      <c r="F106" s="653">
        <v>17835767.5</v>
      </c>
      <c r="G106" s="661"/>
      <c r="H106" s="653">
        <v>356715.35</v>
      </c>
      <c r="I106" s="661"/>
      <c r="J106" s="653">
        <v>0</v>
      </c>
      <c r="K106" s="664"/>
      <c r="L106" s="653">
        <v>0</v>
      </c>
      <c r="M106" s="664"/>
      <c r="N106" s="653">
        <v>1477853407</v>
      </c>
      <c r="O106" s="661"/>
      <c r="P106" s="653">
        <v>17924223.415279999</v>
      </c>
      <c r="Q106" s="651"/>
      <c r="R106" s="651"/>
      <c r="S106" s="651"/>
      <c r="T106" s="651"/>
      <c r="U106" s="651"/>
      <c r="V106" s="651"/>
      <c r="W106" s="651"/>
      <c r="X106" s="651"/>
    </row>
    <row r="107" spans="1:24" ht="12" customHeight="1">
      <c r="A107" s="556" t="s">
        <v>174</v>
      </c>
      <c r="B107" s="653">
        <v>283251757</v>
      </c>
      <c r="C107" s="661"/>
      <c r="D107" s="653">
        <v>5921929.0600000005</v>
      </c>
      <c r="E107" s="661"/>
      <c r="F107" s="653">
        <v>173603157</v>
      </c>
      <c r="G107" s="661"/>
      <c r="H107" s="653">
        <v>2604047.5099999998</v>
      </c>
      <c r="I107" s="661"/>
      <c r="J107" s="653">
        <v>0</v>
      </c>
      <c r="K107" s="661"/>
      <c r="L107" s="653">
        <v>0</v>
      </c>
      <c r="M107" s="661"/>
      <c r="N107" s="653">
        <v>197998751</v>
      </c>
      <c r="O107" s="661"/>
      <c r="P107" s="653">
        <v>1074034.77</v>
      </c>
      <c r="Q107" s="651"/>
      <c r="R107" s="651"/>
      <c r="S107" s="651"/>
      <c r="T107" s="651"/>
      <c r="U107" s="651"/>
      <c r="V107" s="651"/>
      <c r="W107" s="651"/>
      <c r="X107" s="651"/>
    </row>
    <row r="108" spans="1:24" ht="12" customHeight="1">
      <c r="A108" s="556" t="s">
        <v>176</v>
      </c>
      <c r="B108" s="653">
        <v>58892794</v>
      </c>
      <c r="C108" s="661"/>
      <c r="D108" s="653">
        <v>2469063.92</v>
      </c>
      <c r="E108" s="661"/>
      <c r="F108" s="653">
        <v>0</v>
      </c>
      <c r="G108" s="664"/>
      <c r="H108" s="653">
        <v>0</v>
      </c>
      <c r="I108" s="664"/>
      <c r="J108" s="653">
        <v>0</v>
      </c>
      <c r="K108" s="664"/>
      <c r="L108" s="653">
        <v>0</v>
      </c>
      <c r="M108" s="664"/>
      <c r="N108" s="653">
        <v>29025579</v>
      </c>
      <c r="O108" s="661"/>
      <c r="P108" s="653">
        <v>168348.35</v>
      </c>
      <c r="Q108" s="651"/>
      <c r="R108" s="651"/>
      <c r="S108" s="651"/>
      <c r="T108" s="651"/>
      <c r="U108" s="651"/>
      <c r="V108" s="651"/>
      <c r="W108" s="651"/>
      <c r="X108" s="651"/>
    </row>
    <row r="109" spans="1:24" ht="8.25" customHeight="1">
      <c r="B109" s="653"/>
      <c r="C109" s="661"/>
      <c r="D109" s="653"/>
      <c r="E109" s="661"/>
      <c r="F109" s="653"/>
      <c r="G109" s="664"/>
      <c r="H109" s="653"/>
      <c r="I109" s="664"/>
      <c r="J109" s="653"/>
      <c r="K109" s="664"/>
      <c r="L109" s="653"/>
      <c r="M109" s="664"/>
      <c r="N109" s="653"/>
      <c r="O109" s="661"/>
      <c r="P109" s="653"/>
      <c r="Q109" s="667"/>
      <c r="R109" s="667"/>
      <c r="S109" s="667"/>
      <c r="T109" s="667"/>
      <c r="U109" s="667"/>
      <c r="V109" s="667"/>
      <c r="W109" s="667"/>
      <c r="X109" s="667"/>
    </row>
    <row r="110" spans="1:24" ht="12" customHeight="1">
      <c r="A110" s="556" t="s">
        <v>178</v>
      </c>
      <c r="B110" s="653">
        <v>56928760</v>
      </c>
      <c r="C110" s="661"/>
      <c r="D110" s="653">
        <v>1935447.01</v>
      </c>
      <c r="E110" s="661"/>
      <c r="F110" s="653">
        <v>2419874</v>
      </c>
      <c r="G110" s="661"/>
      <c r="H110" s="653">
        <v>241.99</v>
      </c>
      <c r="I110" s="661"/>
      <c r="J110" s="653">
        <v>1645530</v>
      </c>
      <c r="K110" s="661"/>
      <c r="L110" s="653">
        <v>57593.55</v>
      </c>
      <c r="M110" s="661"/>
      <c r="N110" s="653">
        <v>46877505</v>
      </c>
      <c r="O110" s="661"/>
      <c r="P110" s="653">
        <v>346831.81000000006</v>
      </c>
      <c r="Q110" s="651"/>
      <c r="R110" s="651"/>
      <c r="S110" s="651"/>
      <c r="T110" s="651"/>
      <c r="U110" s="651"/>
      <c r="V110" s="651"/>
      <c r="W110" s="651"/>
      <c r="X110" s="651"/>
    </row>
    <row r="111" spans="1:24" ht="12" customHeight="1">
      <c r="A111" s="556" t="s">
        <v>37</v>
      </c>
      <c r="B111" s="653">
        <v>718140505</v>
      </c>
      <c r="C111" s="653"/>
      <c r="D111" s="653">
        <v>24487589.169999998</v>
      </c>
      <c r="E111" s="653"/>
      <c r="F111" s="653">
        <v>64206440</v>
      </c>
      <c r="G111" s="653"/>
      <c r="H111" s="653">
        <v>1926193.2</v>
      </c>
      <c r="I111" s="653"/>
      <c r="J111" s="653">
        <v>0</v>
      </c>
      <c r="K111" s="653"/>
      <c r="L111" s="653">
        <v>0</v>
      </c>
      <c r="M111" s="653"/>
      <c r="N111" s="653">
        <v>250779526</v>
      </c>
      <c r="O111" s="653"/>
      <c r="P111" s="653">
        <v>2782495.0500000003</v>
      </c>
      <c r="Q111" s="651"/>
      <c r="R111" s="651"/>
      <c r="S111" s="651"/>
      <c r="T111" s="651"/>
      <c r="U111" s="651"/>
      <c r="V111" s="651"/>
      <c r="W111" s="651"/>
      <c r="X111" s="651"/>
    </row>
    <row r="112" spans="1:24" ht="12" customHeight="1">
      <c r="A112" s="556" t="s">
        <v>180</v>
      </c>
      <c r="B112" s="653">
        <v>180973179</v>
      </c>
      <c r="C112" s="653"/>
      <c r="D112" s="653">
        <v>7438634.2199999997</v>
      </c>
      <c r="E112" s="653"/>
      <c r="F112" s="653">
        <v>13415023</v>
      </c>
      <c r="G112" s="653"/>
      <c r="H112" s="653">
        <v>342083.09</v>
      </c>
      <c r="I112" s="653"/>
      <c r="J112" s="653">
        <v>0</v>
      </c>
      <c r="K112" s="653"/>
      <c r="L112" s="653">
        <v>0</v>
      </c>
      <c r="M112" s="653"/>
      <c r="N112" s="653">
        <v>118289855</v>
      </c>
      <c r="O112" s="653"/>
      <c r="P112" s="653">
        <v>721568.12</v>
      </c>
      <c r="Q112" s="651"/>
      <c r="R112" s="651"/>
      <c r="S112" s="651"/>
      <c r="T112" s="651"/>
      <c r="U112" s="651"/>
      <c r="V112" s="651"/>
      <c r="W112" s="651"/>
      <c r="X112" s="651"/>
    </row>
    <row r="113" spans="1:24" ht="12" customHeight="1">
      <c r="A113" s="556" t="s">
        <v>181</v>
      </c>
      <c r="B113" s="653">
        <v>680347142</v>
      </c>
      <c r="C113" s="653"/>
      <c r="D113" s="653">
        <v>16609215</v>
      </c>
      <c r="E113" s="653"/>
      <c r="F113" s="653">
        <v>415676560</v>
      </c>
      <c r="G113" s="653"/>
      <c r="H113" s="653">
        <v>10599755</v>
      </c>
      <c r="I113" s="653"/>
      <c r="J113" s="653">
        <v>123831980</v>
      </c>
      <c r="K113" s="653"/>
      <c r="L113" s="653">
        <v>1077339</v>
      </c>
      <c r="M113" s="653"/>
      <c r="N113" s="653">
        <v>224214920</v>
      </c>
      <c r="O113" s="653"/>
      <c r="P113" s="653">
        <v>1362463.746</v>
      </c>
      <c r="Q113" s="651"/>
      <c r="R113" s="651"/>
      <c r="S113" s="651"/>
      <c r="T113" s="651"/>
      <c r="U113" s="651"/>
      <c r="V113" s="651"/>
      <c r="W113" s="651"/>
      <c r="X113" s="651"/>
    </row>
    <row r="114" spans="1:24" ht="12" customHeight="1">
      <c r="A114" s="558" t="s">
        <v>183</v>
      </c>
      <c r="B114" s="653">
        <v>274785270</v>
      </c>
      <c r="C114" s="661"/>
      <c r="D114" s="653">
        <v>4290652.66</v>
      </c>
      <c r="E114" s="661"/>
      <c r="F114" s="653">
        <v>60747073</v>
      </c>
      <c r="G114" s="661"/>
      <c r="H114" s="653">
        <v>1002328.92</v>
      </c>
      <c r="I114" s="661"/>
      <c r="J114" s="653">
        <v>5340902</v>
      </c>
      <c r="K114" s="661"/>
      <c r="L114" s="653">
        <v>34716.26</v>
      </c>
      <c r="M114" s="661"/>
      <c r="N114" s="653">
        <v>327180895</v>
      </c>
      <c r="O114" s="661"/>
      <c r="P114" s="653">
        <v>2002654.3299999998</v>
      </c>
      <c r="Q114" s="651"/>
      <c r="R114" s="651"/>
      <c r="S114" s="651"/>
      <c r="T114" s="651"/>
      <c r="U114" s="651"/>
      <c r="V114" s="651"/>
      <c r="W114" s="651"/>
      <c r="X114" s="651"/>
    </row>
    <row r="115" spans="1:24" ht="8.25" customHeight="1"/>
    <row r="116" spans="1:24" ht="12" customHeight="1">
      <c r="A116" s="556" t="s">
        <v>185</v>
      </c>
      <c r="B116" s="654">
        <v>138375267</v>
      </c>
      <c r="C116" s="665"/>
      <c r="D116" s="654">
        <v>1748691</v>
      </c>
      <c r="E116" s="654"/>
      <c r="F116" s="654">
        <v>24571486</v>
      </c>
      <c r="G116" s="654"/>
      <c r="H116" s="654">
        <v>176915</v>
      </c>
      <c r="I116" s="654"/>
      <c r="J116" s="654">
        <v>16750542</v>
      </c>
      <c r="K116" s="666"/>
      <c r="L116" s="654">
        <v>120604</v>
      </c>
      <c r="M116" s="666"/>
      <c r="N116" s="654">
        <v>103714895</v>
      </c>
      <c r="O116" s="654"/>
      <c r="P116" s="654">
        <v>718707.51</v>
      </c>
      <c r="Q116" s="651"/>
      <c r="R116" s="651"/>
      <c r="S116" s="651"/>
      <c r="T116" s="651"/>
      <c r="U116" s="651"/>
      <c r="V116" s="651"/>
      <c r="W116" s="651"/>
      <c r="X116" s="651"/>
    </row>
    <row r="117" spans="1:24" ht="12" customHeight="1">
      <c r="A117" s="556" t="s">
        <v>187</v>
      </c>
      <c r="B117" s="653">
        <v>357458586</v>
      </c>
      <c r="C117" s="653"/>
      <c r="D117" s="653">
        <v>11145459.99</v>
      </c>
      <c r="E117" s="653"/>
      <c r="F117" s="653">
        <v>73243774</v>
      </c>
      <c r="G117" s="653"/>
      <c r="H117" s="653">
        <v>2307178.88</v>
      </c>
      <c r="I117" s="653"/>
      <c r="J117" s="653">
        <v>43445881</v>
      </c>
      <c r="K117" s="653"/>
      <c r="L117" s="653">
        <v>260675.29</v>
      </c>
      <c r="M117" s="653"/>
      <c r="N117" s="653">
        <v>194503654</v>
      </c>
      <c r="O117" s="653"/>
      <c r="P117" s="653">
        <v>926447.5</v>
      </c>
      <c r="Q117" s="651"/>
      <c r="R117" s="651"/>
      <c r="S117" s="651"/>
      <c r="T117" s="651"/>
      <c r="U117" s="651"/>
      <c r="V117" s="651"/>
      <c r="W117" s="651"/>
      <c r="X117" s="651"/>
    </row>
    <row r="118" spans="1:24" ht="12" customHeight="1">
      <c r="A118" s="556" t="s">
        <v>189</v>
      </c>
      <c r="B118" s="653">
        <v>198465021</v>
      </c>
      <c r="C118" s="653"/>
      <c r="D118" s="653">
        <v>4309564.63</v>
      </c>
      <c r="E118" s="653"/>
      <c r="F118" s="653">
        <v>86457774</v>
      </c>
      <c r="G118" s="653"/>
      <c r="H118" s="653">
        <v>1340095.6499999999</v>
      </c>
      <c r="I118" s="653"/>
      <c r="J118" s="653">
        <v>48490306</v>
      </c>
      <c r="K118" s="653"/>
      <c r="L118" s="653">
        <v>193961.17</v>
      </c>
      <c r="M118" s="653"/>
      <c r="N118" s="653">
        <v>119374517</v>
      </c>
      <c r="O118" s="653"/>
      <c r="P118" s="653">
        <v>825225.9</v>
      </c>
      <c r="Q118" s="651"/>
      <c r="R118" s="651"/>
      <c r="S118" s="651"/>
      <c r="T118" s="651"/>
      <c r="U118" s="651"/>
      <c r="V118" s="651"/>
      <c r="W118" s="651"/>
      <c r="X118" s="651"/>
    </row>
    <row r="119" spans="1:24" ht="12" customHeight="1">
      <c r="A119" s="556" t="s">
        <v>191</v>
      </c>
      <c r="B119" s="653">
        <v>186084172</v>
      </c>
      <c r="C119" s="653"/>
      <c r="D119" s="653">
        <v>6760209.4800000004</v>
      </c>
      <c r="E119" s="653"/>
      <c r="F119" s="653">
        <v>14802496</v>
      </c>
      <c r="G119" s="653"/>
      <c r="H119" s="653">
        <v>355259.91</v>
      </c>
      <c r="I119" s="653"/>
      <c r="J119" s="653">
        <v>10199919</v>
      </c>
      <c r="K119" s="653"/>
      <c r="L119" s="653">
        <v>50999.75</v>
      </c>
      <c r="M119" s="653"/>
      <c r="N119" s="653">
        <v>112656725</v>
      </c>
      <c r="O119" s="653"/>
      <c r="P119" s="653">
        <v>870055.34</v>
      </c>
      <c r="Q119" s="651"/>
      <c r="R119" s="651"/>
      <c r="S119" s="651"/>
      <c r="T119" s="651"/>
      <c r="U119" s="651"/>
      <c r="V119" s="651"/>
      <c r="W119" s="651"/>
      <c r="X119" s="651"/>
    </row>
    <row r="120" spans="1:24" ht="12" customHeight="1">
      <c r="A120" s="556" t="s">
        <v>193</v>
      </c>
      <c r="B120" s="653">
        <v>712573201</v>
      </c>
      <c r="C120" s="661"/>
      <c r="D120" s="653">
        <v>43921800</v>
      </c>
      <c r="E120" s="661"/>
      <c r="F120" s="653">
        <v>20672545</v>
      </c>
      <c r="G120" s="661"/>
      <c r="H120" s="653">
        <v>873617</v>
      </c>
      <c r="I120" s="661"/>
      <c r="J120" s="653">
        <v>0</v>
      </c>
      <c r="K120" s="664"/>
      <c r="L120" s="653">
        <v>0</v>
      </c>
      <c r="M120" s="664"/>
      <c r="N120" s="653">
        <v>17076651</v>
      </c>
      <c r="O120" s="661"/>
      <c r="P120" s="653">
        <v>146861.44</v>
      </c>
      <c r="Q120" s="651"/>
      <c r="R120" s="651"/>
      <c r="S120" s="651"/>
      <c r="T120" s="651"/>
      <c r="U120" s="651"/>
      <c r="V120" s="651"/>
      <c r="W120" s="651"/>
      <c r="X120" s="651"/>
    </row>
    <row r="121" spans="1:24" ht="8.25" customHeight="1">
      <c r="B121" s="653"/>
      <c r="C121" s="661"/>
      <c r="D121" s="653"/>
      <c r="E121" s="661"/>
      <c r="F121" s="653"/>
      <c r="G121" s="661"/>
      <c r="H121" s="653"/>
      <c r="I121" s="661"/>
      <c r="J121" s="653"/>
      <c r="K121" s="664"/>
      <c r="L121" s="653"/>
      <c r="M121" s="664"/>
      <c r="N121" s="653"/>
      <c r="O121" s="661"/>
      <c r="P121" s="653"/>
      <c r="Q121" s="667"/>
      <c r="R121" s="667"/>
      <c r="S121" s="667"/>
      <c r="T121" s="667"/>
      <c r="U121" s="667"/>
      <c r="V121" s="667"/>
      <c r="W121" s="667"/>
      <c r="X121" s="667"/>
    </row>
    <row r="122" spans="1:24" ht="12" customHeight="1">
      <c r="A122" s="556" t="s">
        <v>195</v>
      </c>
      <c r="B122" s="653">
        <v>818494150</v>
      </c>
      <c r="C122" s="653"/>
      <c r="D122" s="653">
        <v>45154054.800000004</v>
      </c>
      <c r="E122" s="653"/>
      <c r="F122" s="653">
        <v>30213030</v>
      </c>
      <c r="G122" s="653"/>
      <c r="H122" s="653">
        <v>226597.66</v>
      </c>
      <c r="I122" s="653"/>
      <c r="J122" s="653">
        <v>182341560</v>
      </c>
      <c r="K122" s="653"/>
      <c r="L122" s="653">
        <v>911707.8</v>
      </c>
      <c r="M122" s="653"/>
      <c r="N122" s="653">
        <v>331932480</v>
      </c>
      <c r="O122" s="653"/>
      <c r="P122" s="653">
        <v>3606557.68</v>
      </c>
      <c r="Q122" s="651"/>
      <c r="R122" s="651"/>
      <c r="S122" s="651"/>
      <c r="T122" s="651"/>
      <c r="U122" s="651"/>
      <c r="V122" s="651"/>
      <c r="W122" s="651"/>
      <c r="X122" s="651"/>
    </row>
    <row r="123" spans="1:24" ht="12" customHeight="1">
      <c r="A123" s="556" t="s">
        <v>197</v>
      </c>
      <c r="B123" s="653">
        <v>50500341</v>
      </c>
      <c r="C123" s="661"/>
      <c r="D123" s="653">
        <v>1926249.22</v>
      </c>
      <c r="E123" s="661"/>
      <c r="F123" s="653">
        <v>1720460</v>
      </c>
      <c r="G123" s="661"/>
      <c r="H123" s="653">
        <v>17204.599999999999</v>
      </c>
      <c r="I123" s="661"/>
      <c r="J123" s="653">
        <v>0</v>
      </c>
      <c r="K123" s="664"/>
      <c r="L123" s="653">
        <v>0</v>
      </c>
      <c r="M123" s="664"/>
      <c r="N123" s="653">
        <v>1671634788</v>
      </c>
      <c r="O123" s="661"/>
      <c r="P123" s="653">
        <v>12218752.184999999</v>
      </c>
      <c r="Q123" s="651"/>
      <c r="R123" s="651"/>
      <c r="S123" s="651"/>
      <c r="T123" s="651"/>
      <c r="U123" s="651"/>
      <c r="V123" s="651"/>
      <c r="W123" s="651"/>
      <c r="X123" s="651"/>
    </row>
    <row r="124" spans="1:24" ht="12" customHeight="1">
      <c r="A124" s="556" t="s">
        <v>199</v>
      </c>
      <c r="B124" s="653">
        <v>69821497</v>
      </c>
      <c r="C124" s="653"/>
      <c r="D124" s="653">
        <v>3086172.0282000001</v>
      </c>
      <c r="E124" s="653"/>
      <c r="F124" s="653">
        <v>35320163</v>
      </c>
      <c r="G124" s="653"/>
      <c r="H124" s="653">
        <v>858279.96089999995</v>
      </c>
      <c r="I124" s="653"/>
      <c r="J124" s="653">
        <v>9041663</v>
      </c>
      <c r="K124" s="653"/>
      <c r="L124" s="653">
        <v>90416.63</v>
      </c>
      <c r="M124" s="653"/>
      <c r="N124" s="653">
        <v>63873055</v>
      </c>
      <c r="O124" s="653"/>
      <c r="P124" s="653">
        <v>376267.97990000003</v>
      </c>
      <c r="Q124" s="651"/>
      <c r="R124" s="651"/>
      <c r="S124" s="651"/>
      <c r="T124" s="651"/>
      <c r="U124" s="651"/>
      <c r="V124" s="651"/>
      <c r="W124" s="651"/>
      <c r="X124" s="651"/>
    </row>
    <row r="125" spans="1:24" ht="12" customHeight="1">
      <c r="A125" s="556" t="s">
        <v>201</v>
      </c>
      <c r="B125" s="653">
        <v>421872112</v>
      </c>
      <c r="C125" s="661"/>
      <c r="D125" s="653">
        <v>7951070.1299999999</v>
      </c>
      <c r="E125" s="661"/>
      <c r="F125" s="653">
        <v>57496700</v>
      </c>
      <c r="G125" s="661"/>
      <c r="H125" s="653">
        <v>1149934</v>
      </c>
      <c r="I125" s="661"/>
      <c r="J125" s="653">
        <v>24259008</v>
      </c>
      <c r="K125" s="661"/>
      <c r="L125" s="653">
        <v>1043137.34</v>
      </c>
      <c r="M125" s="661"/>
      <c r="N125" s="653">
        <v>151353638</v>
      </c>
      <c r="O125" s="661"/>
      <c r="P125" s="653">
        <v>894409.94</v>
      </c>
      <c r="Q125" s="651"/>
      <c r="R125" s="651"/>
      <c r="S125" s="651"/>
      <c r="T125" s="651"/>
      <c r="U125" s="651"/>
      <c r="V125" s="651"/>
      <c r="W125" s="651"/>
      <c r="X125" s="651"/>
    </row>
    <row r="126" spans="1:24" ht="12" customHeight="1">
      <c r="A126" s="556" t="s">
        <v>203</v>
      </c>
      <c r="B126" s="653">
        <v>403220111</v>
      </c>
      <c r="C126" s="661"/>
      <c r="D126" s="653">
        <v>14094688.75</v>
      </c>
      <c r="E126" s="661"/>
      <c r="F126" s="653">
        <v>56078375</v>
      </c>
      <c r="G126" s="661"/>
      <c r="H126" s="653">
        <v>724932.26</v>
      </c>
      <c r="I126" s="661"/>
      <c r="J126" s="653">
        <v>0</v>
      </c>
      <c r="K126" s="661"/>
      <c r="L126" s="653">
        <v>0</v>
      </c>
      <c r="M126" s="661"/>
      <c r="N126" s="653">
        <v>80638530</v>
      </c>
      <c r="O126" s="661"/>
      <c r="P126" s="653">
        <v>510695.97</v>
      </c>
      <c r="Q126" s="651"/>
      <c r="R126" s="651"/>
      <c r="S126" s="651"/>
      <c r="T126" s="651"/>
      <c r="U126" s="651"/>
      <c r="V126" s="651"/>
      <c r="W126" s="651"/>
      <c r="X126" s="651"/>
    </row>
    <row r="127" spans="1:24" ht="15">
      <c r="A127" s="638" t="s">
        <v>999</v>
      </c>
      <c r="B127" s="639"/>
      <c r="C127" s="606"/>
      <c r="D127" s="639"/>
      <c r="E127" s="606"/>
      <c r="F127" s="639"/>
      <c r="G127" s="606"/>
      <c r="H127" s="639"/>
      <c r="I127" s="606"/>
      <c r="J127" s="639"/>
      <c r="K127" s="606"/>
      <c r="L127" s="639"/>
      <c r="M127" s="606"/>
      <c r="N127" s="639"/>
      <c r="O127" s="606"/>
      <c r="P127" s="639"/>
      <c r="Q127" s="615"/>
      <c r="R127" s="615"/>
      <c r="S127" s="615"/>
      <c r="T127" s="615"/>
      <c r="U127" s="615"/>
      <c r="V127" s="615"/>
      <c r="W127" s="615"/>
      <c r="X127" s="615"/>
    </row>
    <row r="128" spans="1:24" s="624" customFormat="1" ht="12.75">
      <c r="A128" s="640" t="s">
        <v>967</v>
      </c>
      <c r="B128" s="640"/>
      <c r="C128" s="640"/>
      <c r="D128" s="640"/>
      <c r="E128" s="640"/>
      <c r="F128" s="640"/>
      <c r="G128" s="640"/>
      <c r="H128" s="640"/>
      <c r="I128" s="640"/>
      <c r="J128" s="640"/>
      <c r="K128" s="640"/>
      <c r="L128" s="640"/>
      <c r="M128" s="640"/>
      <c r="N128" s="640"/>
      <c r="O128" s="640"/>
      <c r="P128" s="640"/>
      <c r="Q128" s="668"/>
      <c r="R128" s="668"/>
      <c r="S128" s="668"/>
      <c r="T128" s="668"/>
      <c r="U128" s="668"/>
      <c r="V128" s="668"/>
      <c r="W128" s="668"/>
      <c r="X128" s="668"/>
    </row>
    <row r="129" spans="1:24" s="624" customFormat="1" ht="12.75">
      <c r="A129" s="850" t="s">
        <v>1070</v>
      </c>
      <c r="B129" s="560"/>
      <c r="C129" s="560"/>
      <c r="D129" s="560"/>
      <c r="E129" s="560"/>
      <c r="F129" s="560"/>
      <c r="G129" s="560"/>
      <c r="H129" s="560"/>
      <c r="I129" s="560"/>
      <c r="J129" s="560"/>
      <c r="K129" s="560"/>
      <c r="L129" s="560"/>
      <c r="M129" s="560"/>
      <c r="N129" s="560"/>
      <c r="O129" s="560"/>
      <c r="P129" s="560"/>
      <c r="Q129" s="669"/>
      <c r="R129" s="669"/>
      <c r="S129" s="669"/>
      <c r="T129" s="669"/>
      <c r="U129" s="669"/>
      <c r="V129" s="669"/>
      <c r="W129" s="669"/>
      <c r="X129" s="669"/>
    </row>
    <row r="130" spans="1:24" ht="11.25" customHeight="1" thickBot="1">
      <c r="A130" s="562"/>
      <c r="B130" s="562"/>
      <c r="C130" s="562"/>
      <c r="D130" s="562"/>
      <c r="E130" s="562"/>
      <c r="F130" s="562"/>
      <c r="G130" s="562"/>
      <c r="H130" s="562"/>
      <c r="I130" s="562"/>
      <c r="J130" s="562"/>
      <c r="K130" s="562"/>
      <c r="L130" s="562"/>
      <c r="M130" s="562"/>
      <c r="N130" s="562"/>
      <c r="O130" s="562"/>
      <c r="P130" s="562"/>
      <c r="Q130" s="643"/>
      <c r="R130" s="643"/>
      <c r="S130" s="643"/>
      <c r="T130" s="643"/>
      <c r="U130" s="643"/>
      <c r="V130" s="643"/>
      <c r="W130" s="643"/>
      <c r="X130" s="643"/>
    </row>
    <row r="131" spans="1:24" ht="14.25" customHeight="1">
      <c r="A131" s="606"/>
      <c r="B131" s="1091" t="s">
        <v>968</v>
      </c>
      <c r="C131" s="1091"/>
      <c r="D131" s="1091"/>
      <c r="E131" s="606"/>
      <c r="F131" s="1091" t="s">
        <v>969</v>
      </c>
      <c r="G131" s="1091"/>
      <c r="H131" s="1091"/>
      <c r="I131" s="606"/>
      <c r="J131" s="1091" t="s">
        <v>970</v>
      </c>
      <c r="K131" s="1091"/>
      <c r="L131" s="1091"/>
      <c r="M131" s="606"/>
      <c r="N131" s="1091" t="s">
        <v>971</v>
      </c>
      <c r="O131" s="1091"/>
      <c r="P131" s="1091"/>
      <c r="Q131" s="644"/>
      <c r="R131" s="644"/>
      <c r="S131" s="644"/>
      <c r="T131" s="644"/>
      <c r="U131" s="644"/>
      <c r="V131" s="644"/>
      <c r="W131" s="644"/>
      <c r="X131" s="644"/>
    </row>
    <row r="132" spans="1:24" ht="12" customHeight="1">
      <c r="A132" s="645" t="s">
        <v>33</v>
      </c>
      <c r="B132" s="646" t="s">
        <v>972</v>
      </c>
      <c r="C132" s="563"/>
      <c r="D132" s="646" t="s">
        <v>973</v>
      </c>
      <c r="E132" s="563"/>
      <c r="F132" s="646" t="s">
        <v>972</v>
      </c>
      <c r="G132" s="563"/>
      <c r="H132" s="646" t="s">
        <v>973</v>
      </c>
      <c r="I132" s="563"/>
      <c r="J132" s="646" t="s">
        <v>972</v>
      </c>
      <c r="K132" s="563"/>
      <c r="L132" s="646" t="s">
        <v>973</v>
      </c>
      <c r="M132" s="563"/>
      <c r="N132" s="646" t="s">
        <v>972</v>
      </c>
      <c r="O132" s="563"/>
      <c r="P132" s="646" t="s">
        <v>973</v>
      </c>
      <c r="Q132" s="647"/>
      <c r="R132" s="647"/>
      <c r="S132" s="647"/>
      <c r="T132" s="647"/>
      <c r="U132" s="647"/>
      <c r="V132" s="647"/>
      <c r="W132" s="647"/>
      <c r="X132" s="647"/>
    </row>
    <row r="133" spans="1:24" ht="8.25" customHeight="1">
      <c r="B133" s="653"/>
      <c r="C133" s="655"/>
      <c r="D133" s="653"/>
      <c r="E133" s="655"/>
      <c r="F133" s="653"/>
      <c r="G133" s="655"/>
      <c r="H133" s="653"/>
      <c r="I133" s="655"/>
      <c r="J133" s="653"/>
      <c r="K133" s="655"/>
      <c r="L133" s="653"/>
      <c r="M133" s="655"/>
      <c r="N133" s="653"/>
      <c r="O133" s="655"/>
      <c r="P133" s="653"/>
      <c r="Q133" s="667"/>
      <c r="R133" s="667"/>
      <c r="S133" s="667"/>
      <c r="T133" s="667"/>
      <c r="U133" s="667"/>
      <c r="V133" s="667"/>
      <c r="W133" s="667"/>
      <c r="X133" s="667"/>
    </row>
    <row r="134" spans="1:24" ht="12" customHeight="1">
      <c r="A134" s="556" t="s">
        <v>205</v>
      </c>
      <c r="B134" s="648">
        <v>516583286</v>
      </c>
      <c r="C134" s="649"/>
      <c r="D134" s="648">
        <v>7775474.1899999995</v>
      </c>
      <c r="E134" s="649"/>
      <c r="F134" s="648">
        <v>163834820</v>
      </c>
      <c r="G134" s="649"/>
      <c r="H134" s="648">
        <v>2539439.71</v>
      </c>
      <c r="I134" s="649"/>
      <c r="J134" s="648">
        <v>0</v>
      </c>
      <c r="K134" s="649"/>
      <c r="L134" s="648">
        <v>0</v>
      </c>
      <c r="M134" s="649"/>
      <c r="N134" s="648">
        <v>177175316</v>
      </c>
      <c r="O134" s="649"/>
      <c r="P134" s="650">
        <v>1033474.73</v>
      </c>
      <c r="Q134" s="651"/>
      <c r="R134" s="651"/>
      <c r="S134" s="651"/>
      <c r="T134" s="651"/>
      <c r="U134" s="651"/>
      <c r="V134" s="651"/>
      <c r="W134" s="651"/>
      <c r="X134" s="651"/>
    </row>
    <row r="135" spans="1:24" ht="12" customHeight="1">
      <c r="A135" s="556" t="s">
        <v>207</v>
      </c>
      <c r="B135" s="653">
        <v>158909000</v>
      </c>
      <c r="C135" s="661"/>
      <c r="D135" s="653">
        <v>4204380.03</v>
      </c>
      <c r="E135" s="661"/>
      <c r="F135" s="653">
        <v>7060500</v>
      </c>
      <c r="G135" s="661"/>
      <c r="H135" s="653">
        <v>105907.5</v>
      </c>
      <c r="I135" s="661"/>
      <c r="J135" s="653">
        <v>9962610</v>
      </c>
      <c r="K135" s="661"/>
      <c r="L135" s="653">
        <v>40194.07</v>
      </c>
      <c r="M135" s="661"/>
      <c r="N135" s="653">
        <v>54780490</v>
      </c>
      <c r="O135" s="661"/>
      <c r="P135" s="653">
        <v>231754.71</v>
      </c>
      <c r="Q135" s="651"/>
      <c r="R135" s="651"/>
      <c r="S135" s="651"/>
      <c r="T135" s="651"/>
      <c r="U135" s="651"/>
      <c r="V135" s="651"/>
      <c r="W135" s="651"/>
      <c r="X135" s="651"/>
    </row>
    <row r="136" spans="1:24" ht="12" customHeight="1">
      <c r="A136" s="556" t="s">
        <v>209</v>
      </c>
      <c r="B136" s="653">
        <v>458269885</v>
      </c>
      <c r="C136" s="661"/>
      <c r="D136" s="653">
        <v>6447680.7400000002</v>
      </c>
      <c r="E136" s="661"/>
      <c r="F136" s="653">
        <v>308824110</v>
      </c>
      <c r="G136" s="661"/>
      <c r="H136" s="653">
        <v>3551477.37</v>
      </c>
      <c r="I136" s="661"/>
      <c r="J136" s="653">
        <v>35398464</v>
      </c>
      <c r="K136" s="661"/>
      <c r="L136" s="653">
        <v>1008856.6</v>
      </c>
      <c r="M136" s="661"/>
      <c r="N136" s="653">
        <v>590915710</v>
      </c>
      <c r="O136" s="661"/>
      <c r="P136" s="653">
        <v>3376589.9509999999</v>
      </c>
      <c r="Q136" s="651"/>
      <c r="R136" s="651"/>
      <c r="S136" s="651"/>
      <c r="T136" s="651"/>
      <c r="U136" s="651"/>
      <c r="V136" s="651"/>
      <c r="W136" s="651"/>
      <c r="X136" s="651"/>
    </row>
    <row r="137" spans="1:24" ht="12" customHeight="1">
      <c r="A137" s="556" t="s">
        <v>211</v>
      </c>
      <c r="B137" s="653">
        <v>249912936</v>
      </c>
      <c r="C137" s="661"/>
      <c r="D137" s="653">
        <v>4788883.78</v>
      </c>
      <c r="E137" s="661"/>
      <c r="F137" s="653">
        <v>189022865</v>
      </c>
      <c r="G137" s="661"/>
      <c r="H137" s="653">
        <v>2835342.98</v>
      </c>
      <c r="I137" s="661"/>
      <c r="J137" s="653">
        <v>57531259</v>
      </c>
      <c r="K137" s="661"/>
      <c r="L137" s="653">
        <v>322175.05</v>
      </c>
      <c r="M137" s="661"/>
      <c r="N137" s="653">
        <v>159110024</v>
      </c>
      <c r="O137" s="661"/>
      <c r="P137" s="653">
        <v>704536.64</v>
      </c>
      <c r="Q137" s="651"/>
      <c r="R137" s="651"/>
      <c r="S137" s="651"/>
      <c r="T137" s="651"/>
      <c r="U137" s="651"/>
      <c r="V137" s="651"/>
      <c r="W137" s="651"/>
      <c r="X137" s="651"/>
    </row>
    <row r="138" spans="1:24" ht="12" customHeight="1">
      <c r="A138" s="556" t="s">
        <v>213</v>
      </c>
      <c r="B138" s="653">
        <v>597169445</v>
      </c>
      <c r="C138" s="661"/>
      <c r="D138" s="653">
        <v>21547775.649999999</v>
      </c>
      <c r="E138" s="661"/>
      <c r="F138" s="653">
        <v>108046250</v>
      </c>
      <c r="G138" s="661"/>
      <c r="H138" s="653">
        <v>4321850</v>
      </c>
      <c r="I138" s="661"/>
      <c r="J138" s="653">
        <v>0</v>
      </c>
      <c r="K138" s="664"/>
      <c r="L138" s="653">
        <v>0</v>
      </c>
      <c r="M138" s="664"/>
      <c r="N138" s="653">
        <v>393842617</v>
      </c>
      <c r="O138" s="661"/>
      <c r="P138" s="653">
        <v>2591825.7800000003</v>
      </c>
      <c r="Q138" s="651"/>
      <c r="R138" s="651"/>
      <c r="S138" s="651"/>
      <c r="T138" s="651"/>
      <c r="U138" s="651"/>
      <c r="V138" s="651"/>
      <c r="W138" s="651"/>
      <c r="X138" s="651"/>
    </row>
    <row r="139" spans="1:24" ht="12" customHeight="1"/>
    <row r="140" spans="1:24" ht="12.75" customHeight="1">
      <c r="A140" s="595" t="s">
        <v>34</v>
      </c>
      <c r="B140" s="595">
        <f>SUM(B8:B60,B62:B114,B116:B138)</f>
        <v>52038975317.18</v>
      </c>
      <c r="C140" s="595"/>
      <c r="D140" s="595">
        <f>SUM(D8:D60,D62:D114,D116:D138)</f>
        <v>1839470992.8928003</v>
      </c>
      <c r="E140" s="595"/>
      <c r="F140" s="595">
        <f>SUM(F8:F60,F62:F114,F116:F138)</f>
        <v>5962957637.3099995</v>
      </c>
      <c r="G140" s="595"/>
      <c r="H140" s="595">
        <f>SUM(H8:H60,H62:H114,H116:H138)</f>
        <v>117272636.94529995</v>
      </c>
      <c r="I140" s="595"/>
      <c r="J140" s="595">
        <f>SUM(J8:J60,J62:J114,J116:J138)</f>
        <v>1082852640</v>
      </c>
      <c r="K140" s="595"/>
      <c r="L140" s="595">
        <f>SUM(L8:L60,L62:L114,L116:L138)</f>
        <v>11460620.470000001</v>
      </c>
      <c r="M140" s="595"/>
      <c r="N140" s="595">
        <f>SUM(N8:N60,N62:N114,N116:N138)</f>
        <v>29498771905.529999</v>
      </c>
      <c r="O140" s="595"/>
      <c r="P140" s="595">
        <f>SUM(P8:P60,P62:P114,P116:P138)</f>
        <v>228737916.51503003</v>
      </c>
      <c r="Q140" s="637"/>
      <c r="R140" s="637"/>
      <c r="S140" s="637"/>
      <c r="T140" s="637"/>
      <c r="U140" s="637"/>
      <c r="V140" s="637"/>
      <c r="W140" s="637"/>
      <c r="X140" s="637"/>
    </row>
    <row r="141" spans="1:24" ht="12" customHeight="1">
      <c r="A141" s="600"/>
      <c r="B141" s="600"/>
      <c r="C141" s="600"/>
      <c r="D141" s="600"/>
      <c r="E141" s="600"/>
      <c r="F141" s="600"/>
      <c r="G141" s="600"/>
      <c r="H141" s="600"/>
      <c r="I141" s="600"/>
      <c r="J141" s="600"/>
      <c r="K141" s="600"/>
      <c r="L141" s="600"/>
      <c r="M141" s="600"/>
      <c r="N141" s="600"/>
      <c r="O141" s="600"/>
      <c r="P141" s="600"/>
      <c r="Q141" s="637"/>
      <c r="R141" s="637"/>
      <c r="S141" s="637"/>
      <c r="T141" s="637"/>
      <c r="U141" s="637"/>
      <c r="V141" s="637"/>
      <c r="W141" s="637"/>
      <c r="X141" s="637"/>
    </row>
    <row r="142" spans="1:24" ht="12.75" customHeight="1" thickBot="1">
      <c r="A142" s="634"/>
      <c r="B142" s="670"/>
      <c r="C142" s="634"/>
      <c r="D142" s="670"/>
      <c r="E142" s="634"/>
      <c r="F142" s="670"/>
      <c r="G142" s="634"/>
      <c r="H142" s="670"/>
      <c r="I142" s="634"/>
      <c r="J142" s="670"/>
      <c r="K142" s="634"/>
      <c r="L142" s="670"/>
      <c r="M142" s="634"/>
      <c r="N142" s="670"/>
      <c r="O142" s="634"/>
      <c r="P142" s="670"/>
      <c r="Q142" s="671"/>
      <c r="R142" s="671"/>
      <c r="S142" s="671"/>
      <c r="T142" s="671"/>
      <c r="U142" s="671"/>
      <c r="V142" s="671"/>
      <c r="W142" s="671"/>
      <c r="X142" s="671"/>
    </row>
    <row r="143" spans="1:24" ht="14.25" customHeight="1">
      <c r="A143" s="606"/>
      <c r="B143" s="1091" t="s">
        <v>968</v>
      </c>
      <c r="C143" s="1091"/>
      <c r="D143" s="1091"/>
      <c r="E143" s="606"/>
      <c r="F143" s="1091" t="s">
        <v>969</v>
      </c>
      <c r="G143" s="1091"/>
      <c r="H143" s="1091"/>
      <c r="I143" s="606"/>
      <c r="J143" s="1091" t="s">
        <v>970</v>
      </c>
      <c r="K143" s="1091"/>
      <c r="L143" s="1091"/>
      <c r="M143" s="606"/>
      <c r="N143" s="1091" t="s">
        <v>971</v>
      </c>
      <c r="O143" s="1091"/>
      <c r="P143" s="1091"/>
      <c r="Q143" s="644"/>
      <c r="R143" s="644"/>
      <c r="S143" s="644"/>
      <c r="T143" s="644"/>
      <c r="U143" s="644"/>
      <c r="V143" s="644"/>
      <c r="W143" s="644"/>
      <c r="X143" s="644"/>
    </row>
    <row r="144" spans="1:24" ht="12" customHeight="1">
      <c r="A144" s="645" t="s">
        <v>35</v>
      </c>
      <c r="B144" s="646" t="s">
        <v>972</v>
      </c>
      <c r="C144" s="563"/>
      <c r="D144" s="646" t="s">
        <v>973</v>
      </c>
      <c r="E144" s="563"/>
      <c r="F144" s="646" t="s">
        <v>972</v>
      </c>
      <c r="G144" s="563"/>
      <c r="H144" s="646" t="s">
        <v>973</v>
      </c>
      <c r="I144" s="563"/>
      <c r="J144" s="646" t="s">
        <v>972</v>
      </c>
      <c r="K144" s="563"/>
      <c r="L144" s="646" t="s">
        <v>973</v>
      </c>
      <c r="M144" s="563"/>
      <c r="N144" s="646" t="s">
        <v>972</v>
      </c>
      <c r="O144" s="563"/>
      <c r="P144" s="646" t="s">
        <v>973</v>
      </c>
      <c r="Q144" s="647"/>
      <c r="R144" s="647"/>
      <c r="S144" s="647"/>
      <c r="T144" s="647"/>
      <c r="U144" s="647"/>
      <c r="V144" s="647"/>
      <c r="W144" s="647"/>
      <c r="X144" s="647"/>
    </row>
    <row r="145" spans="1:24" ht="8.25" customHeight="1"/>
    <row r="146" spans="1:24" ht="12" customHeight="1">
      <c r="A146" s="556" t="s">
        <v>218</v>
      </c>
      <c r="B146" s="672">
        <v>1510358147</v>
      </c>
      <c r="C146" s="661"/>
      <c r="D146" s="648">
        <v>61841007.640000001</v>
      </c>
      <c r="E146" s="652"/>
      <c r="F146" s="672">
        <v>10748904.48</v>
      </c>
      <c r="G146" s="648"/>
      <c r="H146" s="672">
        <v>483700.7</v>
      </c>
      <c r="I146" s="648"/>
      <c r="J146" s="672">
        <v>0</v>
      </c>
      <c r="K146" s="648"/>
      <c r="L146" s="672">
        <v>0</v>
      </c>
      <c r="M146" s="648"/>
      <c r="N146" s="672">
        <v>826872567</v>
      </c>
      <c r="O146" s="648"/>
      <c r="P146" s="650">
        <v>8269338.1200000001</v>
      </c>
      <c r="Q146" s="651"/>
      <c r="R146" s="651"/>
      <c r="S146" s="651"/>
      <c r="T146" s="651"/>
      <c r="U146" s="651"/>
      <c r="V146" s="651"/>
      <c r="W146" s="651"/>
      <c r="X146" s="651"/>
    </row>
    <row r="147" spans="1:24" ht="12" customHeight="1">
      <c r="A147" s="556" t="s">
        <v>117</v>
      </c>
      <c r="B147" s="652">
        <v>47016160</v>
      </c>
      <c r="C147" s="661"/>
      <c r="D147" s="652">
        <v>999524.39999999991</v>
      </c>
      <c r="E147" s="661"/>
      <c r="F147" s="652">
        <v>34809690</v>
      </c>
      <c r="G147" s="661"/>
      <c r="H147" s="652">
        <v>452525.97</v>
      </c>
      <c r="I147" s="661"/>
      <c r="J147" s="659">
        <v>0</v>
      </c>
      <c r="K147" s="664"/>
      <c r="L147" s="664">
        <v>0</v>
      </c>
      <c r="M147" s="664"/>
      <c r="N147" s="652">
        <v>8896880</v>
      </c>
      <c r="O147" s="661"/>
      <c r="P147" s="654">
        <v>79241.510000000009</v>
      </c>
      <c r="Q147" s="651"/>
      <c r="R147" s="651"/>
      <c r="S147" s="651"/>
      <c r="T147" s="651"/>
      <c r="U147" s="651"/>
      <c r="V147" s="651"/>
      <c r="W147" s="651"/>
      <c r="X147" s="651"/>
    </row>
    <row r="148" spans="1:24" ht="12" customHeight="1">
      <c r="A148" s="556" t="s">
        <v>220</v>
      </c>
      <c r="B148" s="652">
        <v>50173509</v>
      </c>
      <c r="C148" s="653"/>
      <c r="D148" s="652">
        <v>3423182</v>
      </c>
      <c r="E148" s="653"/>
      <c r="F148" s="652">
        <v>12137866</v>
      </c>
      <c r="G148" s="653"/>
      <c r="H148" s="652">
        <v>849651</v>
      </c>
      <c r="I148" s="653"/>
      <c r="J148" s="659">
        <v>0</v>
      </c>
      <c r="K148" s="664"/>
      <c r="L148" s="664">
        <v>0</v>
      </c>
      <c r="M148" s="664"/>
      <c r="N148" s="652">
        <v>17495045</v>
      </c>
      <c r="O148" s="661"/>
      <c r="P148" s="654">
        <v>164453</v>
      </c>
      <c r="Q148" s="651"/>
      <c r="R148" s="651"/>
      <c r="S148" s="651"/>
      <c r="T148" s="651"/>
      <c r="U148" s="651"/>
      <c r="V148" s="651"/>
      <c r="W148" s="651"/>
      <c r="X148" s="651"/>
    </row>
    <row r="149" spans="1:24" ht="12" customHeight="1">
      <c r="A149" s="556" t="s">
        <v>222</v>
      </c>
      <c r="B149" s="652">
        <v>29145850</v>
      </c>
      <c r="C149" s="661"/>
      <c r="D149" s="652">
        <v>1680416</v>
      </c>
      <c r="E149" s="661"/>
      <c r="F149" s="652">
        <v>6368480</v>
      </c>
      <c r="G149" s="653"/>
      <c r="H149" s="652">
        <v>270660</v>
      </c>
      <c r="I149" s="653"/>
      <c r="J149" s="659">
        <v>0</v>
      </c>
      <c r="K149" s="664"/>
      <c r="L149" s="664">
        <v>0</v>
      </c>
      <c r="M149" s="664"/>
      <c r="N149" s="652">
        <v>13617540</v>
      </c>
      <c r="O149" s="661"/>
      <c r="P149" s="654">
        <v>125534</v>
      </c>
      <c r="Q149" s="651"/>
      <c r="R149" s="651"/>
      <c r="S149" s="651"/>
      <c r="T149" s="651"/>
      <c r="U149" s="651"/>
      <c r="V149" s="651"/>
      <c r="W149" s="651"/>
      <c r="X149" s="651"/>
    </row>
    <row r="150" spans="1:24" ht="12" customHeight="1">
      <c r="A150" s="556" t="s">
        <v>224</v>
      </c>
      <c r="B150" s="652">
        <v>230987742</v>
      </c>
      <c r="C150" s="661"/>
      <c r="D150" s="652">
        <v>9674442.3100000005</v>
      </c>
      <c r="E150" s="661"/>
      <c r="F150" s="652">
        <v>6798568</v>
      </c>
      <c r="G150" s="653"/>
      <c r="H150" s="652">
        <v>285539.94</v>
      </c>
      <c r="I150" s="653"/>
      <c r="J150" s="659">
        <v>0</v>
      </c>
      <c r="K150" s="664"/>
      <c r="L150" s="664">
        <v>0</v>
      </c>
      <c r="M150" s="664"/>
      <c r="N150" s="652">
        <v>135631414</v>
      </c>
      <c r="O150" s="661"/>
      <c r="P150" s="654">
        <v>1293954.82</v>
      </c>
      <c r="Q150" s="651"/>
      <c r="R150" s="651"/>
      <c r="S150" s="651"/>
      <c r="T150" s="651"/>
      <c r="U150" s="651"/>
      <c r="V150" s="651"/>
      <c r="W150" s="651"/>
      <c r="X150" s="651"/>
    </row>
    <row r="151" spans="1:24" ht="8.25" customHeight="1">
      <c r="B151" s="652"/>
      <c r="C151" s="661"/>
      <c r="D151" s="652"/>
      <c r="E151" s="661"/>
      <c r="F151" s="652"/>
      <c r="G151" s="653"/>
      <c r="H151" s="652"/>
      <c r="I151" s="653"/>
      <c r="J151" s="659"/>
      <c r="K151" s="664"/>
      <c r="L151" s="664"/>
      <c r="M151" s="664"/>
      <c r="N151" s="652"/>
      <c r="O151" s="661"/>
      <c r="P151" s="654"/>
      <c r="Q151" s="651"/>
      <c r="R151" s="651"/>
      <c r="S151" s="651"/>
      <c r="T151" s="651"/>
      <c r="U151" s="651"/>
      <c r="V151" s="651"/>
      <c r="W151" s="651"/>
      <c r="X151" s="651"/>
    </row>
    <row r="152" spans="1:24" ht="12" customHeight="1">
      <c r="A152" s="556" t="s">
        <v>169</v>
      </c>
      <c r="B152" s="652">
        <v>1788723255</v>
      </c>
      <c r="C152" s="664"/>
      <c r="D152" s="652">
        <v>70447006</v>
      </c>
      <c r="E152" s="659"/>
      <c r="F152" s="652">
        <v>83180410</v>
      </c>
      <c r="G152" s="653"/>
      <c r="H152" s="652">
        <v>2661773</v>
      </c>
      <c r="I152" s="653"/>
      <c r="J152" s="659">
        <v>0</v>
      </c>
      <c r="K152" s="664"/>
      <c r="L152" s="664">
        <v>0</v>
      </c>
      <c r="M152" s="664"/>
      <c r="N152" s="652">
        <v>1004090644</v>
      </c>
      <c r="O152" s="659"/>
      <c r="P152" s="654">
        <v>10556926</v>
      </c>
      <c r="Q152" s="651"/>
      <c r="R152" s="651"/>
      <c r="S152" s="651"/>
      <c r="T152" s="651"/>
      <c r="U152" s="651"/>
      <c r="V152" s="651"/>
      <c r="W152" s="651"/>
      <c r="X152" s="651"/>
    </row>
    <row r="153" spans="1:24" ht="12" customHeight="1">
      <c r="A153" s="556" t="s">
        <v>171</v>
      </c>
      <c r="B153" s="652">
        <v>124928329</v>
      </c>
      <c r="C153" s="661"/>
      <c r="D153" s="652">
        <v>4372492</v>
      </c>
      <c r="E153" s="652"/>
      <c r="F153" s="652">
        <v>6505089</v>
      </c>
      <c r="G153" s="653"/>
      <c r="H153" s="652">
        <v>130102</v>
      </c>
      <c r="I153" s="653"/>
      <c r="J153" s="659">
        <v>0</v>
      </c>
      <c r="K153" s="664"/>
      <c r="L153" s="664">
        <v>0</v>
      </c>
      <c r="M153" s="664"/>
      <c r="N153" s="652">
        <v>31690744</v>
      </c>
      <c r="O153" s="652"/>
      <c r="P153" s="654">
        <v>349743</v>
      </c>
      <c r="Q153" s="651"/>
      <c r="R153" s="651"/>
      <c r="S153" s="651"/>
      <c r="T153" s="651"/>
      <c r="U153" s="651"/>
      <c r="V153" s="651"/>
      <c r="W153" s="651"/>
      <c r="X153" s="651"/>
    </row>
    <row r="154" spans="1:24" ht="12" customHeight="1">
      <c r="A154" s="556" t="s">
        <v>173</v>
      </c>
      <c r="B154" s="652">
        <v>26556940</v>
      </c>
      <c r="C154" s="661"/>
      <c r="D154" s="652">
        <v>1422226.65</v>
      </c>
      <c r="E154" s="652"/>
      <c r="F154" s="652">
        <v>76686240</v>
      </c>
      <c r="G154" s="653"/>
      <c r="H154" s="652">
        <v>4233080.45</v>
      </c>
      <c r="I154" s="653"/>
      <c r="J154" s="659">
        <v>0</v>
      </c>
      <c r="K154" s="664"/>
      <c r="L154" s="664">
        <v>0</v>
      </c>
      <c r="M154" s="664"/>
      <c r="N154" s="652">
        <v>23896273</v>
      </c>
      <c r="O154" s="652"/>
      <c r="P154" s="654">
        <v>165780.32</v>
      </c>
      <c r="Q154" s="651"/>
      <c r="R154" s="651"/>
      <c r="S154" s="651"/>
      <c r="T154" s="651"/>
      <c r="U154" s="651"/>
      <c r="V154" s="651"/>
      <c r="W154" s="651"/>
      <c r="X154" s="651"/>
    </row>
    <row r="155" spans="1:24" ht="12" customHeight="1">
      <c r="A155" s="556" t="s">
        <v>175</v>
      </c>
      <c r="B155" s="652">
        <v>298852110.90000004</v>
      </c>
      <c r="C155" s="661"/>
      <c r="D155" s="652">
        <v>8748030.8090790007</v>
      </c>
      <c r="E155" s="652"/>
      <c r="F155" s="652">
        <v>86749364</v>
      </c>
      <c r="G155" s="653"/>
      <c r="H155" s="652">
        <v>1301240.46</v>
      </c>
      <c r="I155" s="653"/>
      <c r="J155" s="659">
        <v>0</v>
      </c>
      <c r="K155" s="664"/>
      <c r="L155" s="664">
        <v>0</v>
      </c>
      <c r="M155" s="664"/>
      <c r="N155" s="652">
        <v>100280824</v>
      </c>
      <c r="O155" s="652"/>
      <c r="P155" s="654">
        <v>748986.03120000008</v>
      </c>
      <c r="Q155" s="651"/>
      <c r="R155" s="651"/>
      <c r="S155" s="651"/>
      <c r="T155" s="651"/>
      <c r="U155" s="651"/>
      <c r="V155" s="651"/>
      <c r="W155" s="651"/>
      <c r="X155" s="651"/>
    </row>
    <row r="156" spans="1:24" ht="12" customHeight="1">
      <c r="A156" s="556" t="s">
        <v>177</v>
      </c>
      <c r="B156" s="652">
        <v>33187570</v>
      </c>
      <c r="C156" s="653"/>
      <c r="D156" s="652">
        <v>1600660.2</v>
      </c>
      <c r="E156" s="653"/>
      <c r="F156" s="652">
        <v>3977223</v>
      </c>
      <c r="G156" s="653"/>
      <c r="H156" s="652">
        <v>198861.15</v>
      </c>
      <c r="I156" s="653"/>
      <c r="J156" s="652">
        <v>0</v>
      </c>
      <c r="K156" s="653"/>
      <c r="L156" s="652">
        <v>0</v>
      </c>
      <c r="M156" s="653"/>
      <c r="N156" s="652">
        <v>18334203</v>
      </c>
      <c r="O156" s="653"/>
      <c r="P156" s="654">
        <v>151369.76999999999</v>
      </c>
      <c r="Q156" s="651"/>
      <c r="R156" s="651"/>
      <c r="S156" s="651"/>
      <c r="T156" s="651"/>
      <c r="U156" s="651"/>
      <c r="V156" s="651"/>
      <c r="W156" s="651"/>
      <c r="X156" s="651"/>
    </row>
    <row r="157" spans="1:24" ht="8.25" customHeight="1">
      <c r="B157" s="652"/>
      <c r="C157" s="653"/>
      <c r="D157" s="652"/>
      <c r="E157" s="653"/>
      <c r="F157" s="652"/>
      <c r="G157" s="653"/>
      <c r="H157" s="652"/>
      <c r="I157" s="653"/>
      <c r="J157" s="652"/>
      <c r="K157" s="653"/>
      <c r="L157" s="652"/>
      <c r="M157" s="653"/>
      <c r="N157" s="652"/>
      <c r="O157" s="653"/>
      <c r="P157" s="654"/>
      <c r="Q157" s="651"/>
      <c r="R157" s="651"/>
      <c r="S157" s="651"/>
      <c r="T157" s="651"/>
      <c r="U157" s="651"/>
      <c r="V157" s="651"/>
      <c r="W157" s="651"/>
      <c r="X157" s="651"/>
    </row>
    <row r="158" spans="1:24" ht="12" customHeight="1">
      <c r="A158" s="556" t="s">
        <v>155</v>
      </c>
      <c r="B158" s="652">
        <v>236264750</v>
      </c>
      <c r="C158" s="653"/>
      <c r="D158" s="652">
        <v>8024418.5099999998</v>
      </c>
      <c r="E158" s="653"/>
      <c r="F158" s="652">
        <v>1122532</v>
      </c>
      <c r="G158" s="653"/>
      <c r="H158" s="652">
        <v>46360.57</v>
      </c>
      <c r="I158" s="653"/>
      <c r="J158" s="652">
        <v>0</v>
      </c>
      <c r="K158" s="653"/>
      <c r="L158" s="652">
        <v>0</v>
      </c>
      <c r="M158" s="653"/>
      <c r="N158" s="652">
        <v>113600786</v>
      </c>
      <c r="O158" s="653"/>
      <c r="P158" s="654">
        <v>1215426.3</v>
      </c>
      <c r="Q158" s="651"/>
      <c r="R158" s="651"/>
      <c r="S158" s="651"/>
      <c r="T158" s="651"/>
      <c r="U158" s="651"/>
      <c r="V158" s="651"/>
      <c r="W158" s="651"/>
      <c r="X158" s="651"/>
    </row>
    <row r="159" spans="1:24" ht="12" customHeight="1">
      <c r="A159" s="556" t="s">
        <v>179</v>
      </c>
      <c r="B159" s="652">
        <v>137672495</v>
      </c>
      <c r="C159" s="653"/>
      <c r="D159" s="652">
        <v>6241862.3799999999</v>
      </c>
      <c r="E159" s="653"/>
      <c r="F159" s="652">
        <v>0</v>
      </c>
      <c r="G159" s="653"/>
      <c r="H159" s="652">
        <v>0</v>
      </c>
      <c r="I159" s="653"/>
      <c r="J159" s="652">
        <v>0</v>
      </c>
      <c r="K159" s="653"/>
      <c r="L159" s="652">
        <v>0</v>
      </c>
      <c r="M159" s="653"/>
      <c r="N159" s="652">
        <v>23648761</v>
      </c>
      <c r="O159" s="653"/>
      <c r="P159" s="654">
        <v>300339.26</v>
      </c>
      <c r="Q159" s="651"/>
      <c r="R159" s="651"/>
      <c r="S159" s="651"/>
      <c r="T159" s="651"/>
      <c r="U159" s="651"/>
      <c r="V159" s="651"/>
      <c r="W159" s="651"/>
      <c r="X159" s="651"/>
    </row>
    <row r="160" spans="1:24" ht="12" customHeight="1">
      <c r="A160" s="556" t="s">
        <v>36</v>
      </c>
      <c r="B160" s="652">
        <v>60116278</v>
      </c>
      <c r="C160" s="653"/>
      <c r="D160" s="652">
        <v>2378464</v>
      </c>
      <c r="E160" s="653"/>
      <c r="F160" s="652">
        <v>3032569</v>
      </c>
      <c r="G160" s="653"/>
      <c r="H160" s="652">
        <v>60651.38</v>
      </c>
      <c r="I160" s="653"/>
      <c r="J160" s="652">
        <v>0</v>
      </c>
      <c r="K160" s="653"/>
      <c r="L160" s="652">
        <v>0</v>
      </c>
      <c r="M160" s="653"/>
      <c r="N160" s="652">
        <v>7387940</v>
      </c>
      <c r="O160" s="653"/>
      <c r="P160" s="654">
        <v>57505.39</v>
      </c>
      <c r="Q160" s="651"/>
      <c r="R160" s="651"/>
      <c r="S160" s="651"/>
      <c r="T160" s="651"/>
      <c r="U160" s="651"/>
      <c r="V160" s="651"/>
      <c r="W160" s="651"/>
      <c r="X160" s="651"/>
    </row>
    <row r="161" spans="1:24" ht="12" customHeight="1">
      <c r="A161" s="556" t="s">
        <v>182</v>
      </c>
      <c r="B161" s="652">
        <v>322002232</v>
      </c>
      <c r="C161" s="661"/>
      <c r="D161" s="652">
        <v>9122457.6700000018</v>
      </c>
      <c r="E161" s="652"/>
      <c r="F161" s="652">
        <v>41852208</v>
      </c>
      <c r="G161" s="652"/>
      <c r="H161" s="652">
        <v>331937.76</v>
      </c>
      <c r="I161" s="652"/>
      <c r="J161" s="652">
        <v>0</v>
      </c>
      <c r="K161" s="652"/>
      <c r="L161" s="652">
        <v>0</v>
      </c>
      <c r="M161" s="652"/>
      <c r="N161" s="652">
        <v>121621419</v>
      </c>
      <c r="O161" s="652"/>
      <c r="P161" s="654">
        <v>877120.86</v>
      </c>
      <c r="Q161" s="651"/>
      <c r="R161" s="651"/>
      <c r="S161" s="651"/>
      <c r="T161" s="651"/>
      <c r="U161" s="651"/>
      <c r="V161" s="651"/>
      <c r="W161" s="651"/>
      <c r="X161" s="651"/>
    </row>
    <row r="162" spans="1:24" ht="12" customHeight="1">
      <c r="A162" s="556" t="s">
        <v>184</v>
      </c>
      <c r="B162" s="652">
        <v>35639081</v>
      </c>
      <c r="C162" s="653"/>
      <c r="D162" s="652">
        <v>586327.85000000009</v>
      </c>
      <c r="E162" s="653"/>
      <c r="F162" s="652">
        <v>64232912</v>
      </c>
      <c r="G162" s="653"/>
      <c r="H162" s="652">
        <v>912107.39000000013</v>
      </c>
      <c r="I162" s="653"/>
      <c r="J162" s="652">
        <v>0</v>
      </c>
      <c r="K162" s="653"/>
      <c r="L162" s="652">
        <v>0</v>
      </c>
      <c r="M162" s="653"/>
      <c r="N162" s="652">
        <v>14483951</v>
      </c>
      <c r="O162" s="653"/>
      <c r="P162" s="654">
        <v>90758.5</v>
      </c>
      <c r="Q162" s="651"/>
      <c r="R162" s="651"/>
      <c r="S162" s="651"/>
      <c r="T162" s="651"/>
      <c r="U162" s="651"/>
      <c r="V162" s="651"/>
      <c r="W162" s="651"/>
      <c r="X162" s="651"/>
    </row>
    <row r="163" spans="1:24" ht="8.25" customHeight="1">
      <c r="B163" s="652"/>
      <c r="C163" s="653"/>
      <c r="D163" s="652"/>
      <c r="E163" s="653"/>
      <c r="F163" s="652"/>
      <c r="G163" s="653"/>
      <c r="H163" s="652"/>
      <c r="I163" s="653"/>
      <c r="J163" s="652"/>
      <c r="K163" s="653"/>
      <c r="L163" s="652"/>
      <c r="M163" s="653"/>
      <c r="N163" s="652"/>
      <c r="O163" s="653"/>
      <c r="P163" s="654"/>
      <c r="Q163" s="651"/>
      <c r="R163" s="651"/>
      <c r="S163" s="651"/>
      <c r="T163" s="651"/>
      <c r="U163" s="651"/>
      <c r="V163" s="651"/>
      <c r="W163" s="651"/>
      <c r="X163" s="651"/>
    </row>
    <row r="164" spans="1:24" ht="12" customHeight="1">
      <c r="A164" s="556" t="s">
        <v>186</v>
      </c>
      <c r="B164" s="652">
        <v>1016108918</v>
      </c>
      <c r="C164" s="661"/>
      <c r="D164" s="652">
        <v>37190434.190000005</v>
      </c>
      <c r="E164" s="652"/>
      <c r="F164" s="652">
        <v>69345374</v>
      </c>
      <c r="G164" s="652"/>
      <c r="H164" s="652">
        <v>2309005.09</v>
      </c>
      <c r="I164" s="652"/>
      <c r="J164" s="652">
        <v>0</v>
      </c>
      <c r="K164" s="659"/>
      <c r="L164" s="652">
        <v>0</v>
      </c>
      <c r="M164" s="659"/>
      <c r="N164" s="652">
        <v>393179904</v>
      </c>
      <c r="O164" s="652"/>
      <c r="P164" s="654">
        <v>4113242.37</v>
      </c>
      <c r="Q164" s="651"/>
      <c r="R164" s="651"/>
      <c r="S164" s="651"/>
      <c r="T164" s="651"/>
      <c r="U164" s="651"/>
      <c r="V164" s="651"/>
      <c r="W164" s="651"/>
      <c r="X164" s="651"/>
    </row>
    <row r="165" spans="1:24" ht="12" customHeight="1">
      <c r="A165" s="556" t="s">
        <v>941</v>
      </c>
      <c r="B165" s="652">
        <v>325207697</v>
      </c>
      <c r="C165" s="661"/>
      <c r="D165" s="652">
        <v>8359559.3799999999</v>
      </c>
      <c r="E165" s="652"/>
      <c r="F165" s="652">
        <v>89867400</v>
      </c>
      <c r="G165" s="652"/>
      <c r="H165" s="652">
        <v>1797348</v>
      </c>
      <c r="I165" s="652"/>
      <c r="J165" s="652">
        <v>0</v>
      </c>
      <c r="K165" s="652"/>
      <c r="L165" s="652">
        <v>0</v>
      </c>
      <c r="M165" s="652"/>
      <c r="N165" s="652">
        <v>50421988</v>
      </c>
      <c r="O165" s="652"/>
      <c r="P165" s="654">
        <v>305419.30000000005</v>
      </c>
      <c r="Q165" s="651"/>
      <c r="R165" s="651"/>
      <c r="S165" s="651"/>
      <c r="T165" s="651"/>
      <c r="U165" s="651"/>
      <c r="V165" s="651"/>
      <c r="W165" s="651"/>
      <c r="X165" s="651"/>
    </row>
    <row r="166" spans="1:24" ht="12" customHeight="1">
      <c r="A166" s="556" t="s">
        <v>190</v>
      </c>
      <c r="B166" s="652">
        <v>108182940</v>
      </c>
      <c r="C166" s="661"/>
      <c r="D166" s="652">
        <v>3774346.58</v>
      </c>
      <c r="E166" s="652"/>
      <c r="F166" s="652">
        <v>212200316</v>
      </c>
      <c r="G166" s="652"/>
      <c r="H166" s="652">
        <v>6472109.6399999997</v>
      </c>
      <c r="I166" s="652"/>
      <c r="J166" s="652">
        <v>0</v>
      </c>
      <c r="K166" s="652"/>
      <c r="L166" s="652">
        <v>0</v>
      </c>
      <c r="M166" s="652"/>
      <c r="N166" s="652">
        <v>345948469</v>
      </c>
      <c r="O166" s="652"/>
      <c r="P166" s="654">
        <v>3426254.61</v>
      </c>
      <c r="Q166" s="651"/>
      <c r="R166" s="651"/>
      <c r="S166" s="651"/>
      <c r="T166" s="651"/>
      <c r="U166" s="651"/>
      <c r="V166" s="651"/>
      <c r="W166" s="651"/>
      <c r="X166" s="651"/>
    </row>
    <row r="167" spans="1:24" ht="12" customHeight="1">
      <c r="A167" s="558" t="s">
        <v>942</v>
      </c>
      <c r="B167" s="654">
        <v>34233864.149999999</v>
      </c>
      <c r="C167" s="665"/>
      <c r="D167" s="654">
        <v>1224459.06</v>
      </c>
      <c r="E167" s="654"/>
      <c r="F167" s="654">
        <v>60658.95</v>
      </c>
      <c r="G167" s="654"/>
      <c r="H167" s="654">
        <v>2578</v>
      </c>
      <c r="I167" s="654"/>
      <c r="J167" s="654">
        <v>0</v>
      </c>
      <c r="K167" s="666"/>
      <c r="L167" s="654">
        <v>0</v>
      </c>
      <c r="M167" s="666"/>
      <c r="N167" s="654">
        <v>16200409</v>
      </c>
      <c r="O167" s="654"/>
      <c r="P167" s="654">
        <v>115861.84</v>
      </c>
      <c r="Q167" s="651"/>
      <c r="R167" s="651"/>
      <c r="S167" s="651"/>
      <c r="T167" s="651"/>
      <c r="U167" s="651"/>
      <c r="V167" s="651"/>
      <c r="W167" s="651"/>
      <c r="X167" s="651"/>
    </row>
    <row r="168" spans="1:24" s="558" customFormat="1" ht="12" customHeight="1">
      <c r="A168" s="558" t="s">
        <v>194</v>
      </c>
      <c r="B168" s="654">
        <v>543445995</v>
      </c>
      <c r="C168" s="665"/>
      <c r="D168" s="654">
        <v>17888066</v>
      </c>
      <c r="E168" s="654"/>
      <c r="F168" s="654">
        <v>142664977</v>
      </c>
      <c r="G168" s="654"/>
      <c r="H168" s="654">
        <v>4279949</v>
      </c>
      <c r="I168" s="654"/>
      <c r="J168" s="654">
        <v>0</v>
      </c>
      <c r="K168" s="666"/>
      <c r="L168" s="654">
        <v>0</v>
      </c>
      <c r="M168" s="666"/>
      <c r="N168" s="654">
        <v>24189993</v>
      </c>
      <c r="O168" s="654"/>
      <c r="P168" s="654">
        <v>274441</v>
      </c>
      <c r="Q168" s="651"/>
      <c r="R168" s="651"/>
      <c r="S168" s="651"/>
      <c r="T168" s="651"/>
      <c r="U168" s="651"/>
      <c r="V168" s="651"/>
      <c r="W168" s="651"/>
      <c r="X168" s="651"/>
    </row>
    <row r="169" spans="1:24" ht="15" customHeight="1">
      <c r="A169" s="555" t="s">
        <v>999</v>
      </c>
      <c r="B169" s="639"/>
      <c r="C169" s="606"/>
      <c r="D169" s="639"/>
      <c r="E169" s="606"/>
      <c r="F169" s="639"/>
      <c r="G169" s="606"/>
      <c r="H169" s="639"/>
      <c r="I169" s="606"/>
      <c r="J169" s="639"/>
      <c r="K169" s="606"/>
      <c r="L169" s="639"/>
      <c r="M169" s="606"/>
      <c r="N169" s="639"/>
      <c r="O169" s="606"/>
      <c r="P169" s="639"/>
      <c r="Q169" s="615"/>
      <c r="R169" s="615"/>
      <c r="S169" s="615"/>
      <c r="T169" s="615"/>
      <c r="U169" s="615"/>
      <c r="V169" s="615"/>
      <c r="W169" s="615"/>
      <c r="X169" s="615"/>
    </row>
    <row r="170" spans="1:24" s="624" customFormat="1" ht="12.75">
      <c r="A170" s="640" t="s">
        <v>967</v>
      </c>
      <c r="B170" s="640"/>
      <c r="C170" s="640"/>
      <c r="D170" s="640"/>
      <c r="E170" s="640"/>
      <c r="F170" s="640"/>
      <c r="G170" s="640"/>
      <c r="H170" s="640"/>
      <c r="I170" s="640"/>
      <c r="J170" s="640"/>
      <c r="K170" s="640"/>
      <c r="L170" s="640"/>
      <c r="M170" s="640"/>
      <c r="N170" s="640"/>
      <c r="O170" s="640"/>
      <c r="P170" s="640"/>
      <c r="Q170" s="668"/>
      <c r="R170" s="668"/>
      <c r="S170" s="668"/>
      <c r="T170" s="668"/>
      <c r="U170" s="668"/>
      <c r="V170" s="668"/>
      <c r="W170" s="668"/>
      <c r="X170" s="668"/>
    </row>
    <row r="171" spans="1:24" ht="12.75">
      <c r="A171" s="850" t="s">
        <v>1070</v>
      </c>
      <c r="B171" s="560"/>
      <c r="C171" s="561"/>
      <c r="D171" s="561"/>
      <c r="E171" s="561"/>
      <c r="F171" s="561"/>
      <c r="G171" s="561"/>
      <c r="H171" s="561"/>
      <c r="I171" s="561"/>
      <c r="J171" s="561"/>
      <c r="K171" s="561"/>
      <c r="L171" s="561"/>
      <c r="M171" s="561"/>
      <c r="N171" s="561"/>
      <c r="O171" s="561"/>
      <c r="P171" s="561"/>
      <c r="Q171" s="643"/>
      <c r="R171" s="643"/>
      <c r="S171" s="643"/>
      <c r="T171" s="643"/>
      <c r="U171" s="643"/>
      <c r="V171" s="643"/>
      <c r="W171" s="643"/>
      <c r="X171" s="643"/>
    </row>
    <row r="172" spans="1:24" ht="11.25" customHeight="1" thickBot="1">
      <c r="A172" s="562"/>
      <c r="B172" s="562"/>
      <c r="C172" s="562"/>
      <c r="D172" s="562"/>
      <c r="E172" s="562"/>
      <c r="F172" s="562"/>
      <c r="G172" s="562"/>
      <c r="H172" s="562"/>
      <c r="I172" s="562"/>
      <c r="J172" s="562"/>
      <c r="K172" s="562"/>
      <c r="L172" s="562"/>
      <c r="M172" s="562"/>
      <c r="N172" s="562"/>
      <c r="O172" s="562"/>
      <c r="P172" s="562"/>
      <c r="Q172" s="643"/>
      <c r="R172" s="643"/>
      <c r="S172" s="643"/>
      <c r="T172" s="643"/>
      <c r="U172" s="643"/>
      <c r="V172" s="643"/>
      <c r="W172" s="643"/>
      <c r="X172" s="643"/>
    </row>
    <row r="173" spans="1:24" ht="14.25" customHeight="1">
      <c r="A173" s="606"/>
      <c r="B173" s="1091" t="s">
        <v>968</v>
      </c>
      <c r="C173" s="1091"/>
      <c r="D173" s="1091"/>
      <c r="E173" s="606"/>
      <c r="F173" s="1091" t="s">
        <v>969</v>
      </c>
      <c r="G173" s="1091"/>
      <c r="H173" s="1091"/>
      <c r="I173" s="606"/>
      <c r="J173" s="1091" t="s">
        <v>970</v>
      </c>
      <c r="K173" s="1091"/>
      <c r="L173" s="1091"/>
      <c r="M173" s="606"/>
      <c r="N173" s="1091" t="s">
        <v>971</v>
      </c>
      <c r="O173" s="1091"/>
      <c r="P173" s="1091"/>
      <c r="Q173" s="644"/>
      <c r="R173" s="644"/>
      <c r="S173" s="644"/>
      <c r="T173" s="644"/>
      <c r="U173" s="644"/>
      <c r="V173" s="644"/>
      <c r="W173" s="644"/>
      <c r="X173" s="644"/>
    </row>
    <row r="174" spans="1:24" ht="12" customHeight="1">
      <c r="A174" s="645" t="s">
        <v>35</v>
      </c>
      <c r="B174" s="646" t="s">
        <v>972</v>
      </c>
      <c r="C174" s="563"/>
      <c r="D174" s="646" t="s">
        <v>973</v>
      </c>
      <c r="E174" s="563"/>
      <c r="F174" s="646" t="s">
        <v>972</v>
      </c>
      <c r="G174" s="563"/>
      <c r="H174" s="646" t="s">
        <v>973</v>
      </c>
      <c r="I174" s="563"/>
      <c r="J174" s="646" t="s">
        <v>972</v>
      </c>
      <c r="K174" s="563"/>
      <c r="L174" s="646" t="s">
        <v>973</v>
      </c>
      <c r="M174" s="563"/>
      <c r="N174" s="646" t="s">
        <v>972</v>
      </c>
      <c r="O174" s="563"/>
      <c r="P174" s="646" t="s">
        <v>973</v>
      </c>
      <c r="Q174" s="647"/>
      <c r="R174" s="647"/>
      <c r="S174" s="647"/>
      <c r="T174" s="647"/>
      <c r="U174" s="647"/>
      <c r="V174" s="647"/>
      <c r="W174" s="647"/>
      <c r="X174" s="647"/>
    </row>
    <row r="175" spans="1:24" ht="8.25" customHeight="1"/>
    <row r="176" spans="1:24" ht="12" customHeight="1">
      <c r="A176" s="556" t="s">
        <v>943</v>
      </c>
      <c r="B176" s="648">
        <v>287608935</v>
      </c>
      <c r="C176" s="649"/>
      <c r="D176" s="648">
        <v>8707368.0533000007</v>
      </c>
      <c r="E176" s="649"/>
      <c r="F176" s="648">
        <v>705817165</v>
      </c>
      <c r="G176" s="649"/>
      <c r="H176" s="648">
        <v>4637062.2032499993</v>
      </c>
      <c r="I176" s="649"/>
      <c r="J176" s="648">
        <v>0</v>
      </c>
      <c r="K176" s="649"/>
      <c r="L176" s="648">
        <v>0</v>
      </c>
      <c r="M176" s="649"/>
      <c r="N176" s="648">
        <v>76551752</v>
      </c>
      <c r="O176" s="649"/>
      <c r="P176" s="650">
        <v>952716.58536000003</v>
      </c>
      <c r="Q176" s="651"/>
      <c r="R176" s="651"/>
      <c r="S176" s="651"/>
      <c r="T176" s="651"/>
      <c r="U176" s="651"/>
      <c r="V176" s="651"/>
      <c r="W176" s="651"/>
      <c r="X176" s="651"/>
    </row>
    <row r="177" spans="1:24" ht="12" customHeight="1">
      <c r="A177" s="556" t="s">
        <v>963</v>
      </c>
      <c r="B177" s="652">
        <v>104810359</v>
      </c>
      <c r="C177" s="661"/>
      <c r="D177" s="652">
        <v>3666390.62</v>
      </c>
      <c r="E177" s="661"/>
      <c r="F177" s="652">
        <v>1131639</v>
      </c>
      <c r="G177" s="661"/>
      <c r="H177" s="652">
        <v>39607.42</v>
      </c>
      <c r="I177" s="661"/>
      <c r="J177" s="652">
        <v>0</v>
      </c>
      <c r="K177" s="661"/>
      <c r="L177" s="652">
        <v>0</v>
      </c>
      <c r="M177" s="661"/>
      <c r="N177" s="652">
        <v>28204354</v>
      </c>
      <c r="O177" s="661"/>
      <c r="P177" s="654">
        <v>465371.83</v>
      </c>
      <c r="Q177" s="651"/>
      <c r="R177" s="651"/>
      <c r="S177" s="651"/>
      <c r="T177" s="651"/>
      <c r="U177" s="651"/>
      <c r="V177" s="651"/>
      <c r="W177" s="651"/>
      <c r="X177" s="651"/>
    </row>
    <row r="178" spans="1:24" ht="12" customHeight="1">
      <c r="A178" s="556" t="s">
        <v>200</v>
      </c>
      <c r="B178" s="652">
        <v>98753650</v>
      </c>
      <c r="C178" s="661"/>
      <c r="D178" s="652">
        <v>2270754.5</v>
      </c>
      <c r="E178" s="661"/>
      <c r="F178" s="652">
        <v>9451688</v>
      </c>
      <c r="G178" s="661"/>
      <c r="H178" s="652">
        <v>174190.23</v>
      </c>
      <c r="I178" s="661"/>
      <c r="J178" s="652">
        <v>0</v>
      </c>
      <c r="K178" s="661"/>
      <c r="L178" s="652">
        <v>0</v>
      </c>
      <c r="M178" s="661"/>
      <c r="N178" s="652">
        <v>23299548</v>
      </c>
      <c r="O178" s="661"/>
      <c r="P178" s="654">
        <v>241755.81</v>
      </c>
      <c r="Q178" s="651"/>
      <c r="R178" s="651"/>
      <c r="S178" s="651"/>
      <c r="T178" s="651"/>
      <c r="U178" s="651"/>
      <c r="V178" s="651"/>
      <c r="W178" s="651"/>
      <c r="X178" s="651"/>
    </row>
    <row r="179" spans="1:24" ht="12" customHeight="1">
      <c r="A179" s="556" t="s">
        <v>202</v>
      </c>
      <c r="B179" s="652">
        <v>1184425799</v>
      </c>
      <c r="C179" s="653"/>
      <c r="D179" s="652">
        <v>48181204.880000003</v>
      </c>
      <c r="E179" s="653"/>
      <c r="F179" s="652">
        <v>452558263</v>
      </c>
      <c r="G179" s="653"/>
      <c r="H179" s="652">
        <v>16970935.109999999</v>
      </c>
      <c r="I179" s="653"/>
      <c r="J179" s="652">
        <v>0</v>
      </c>
      <c r="K179" s="653"/>
      <c r="L179" s="652">
        <v>0</v>
      </c>
      <c r="M179" s="653"/>
      <c r="N179" s="652">
        <v>509267008</v>
      </c>
      <c r="O179" s="653"/>
      <c r="P179" s="654">
        <v>5674980.534</v>
      </c>
      <c r="Q179" s="651"/>
      <c r="R179" s="651"/>
      <c r="S179" s="651"/>
      <c r="T179" s="651"/>
      <c r="U179" s="651"/>
      <c r="V179" s="651"/>
      <c r="W179" s="651"/>
      <c r="X179" s="651"/>
    </row>
    <row r="180" spans="1:24" ht="12" customHeight="1">
      <c r="A180" s="556" t="s">
        <v>541</v>
      </c>
      <c r="B180" s="652">
        <v>1646783840</v>
      </c>
      <c r="C180" s="653"/>
      <c r="D180" s="652">
        <v>64772918</v>
      </c>
      <c r="E180" s="653"/>
      <c r="F180" s="652">
        <v>100466648</v>
      </c>
      <c r="G180" s="653"/>
      <c r="H180" s="652">
        <v>4242573</v>
      </c>
      <c r="I180" s="653"/>
      <c r="J180" s="652">
        <v>0</v>
      </c>
      <c r="K180" s="653"/>
      <c r="L180" s="652">
        <v>0</v>
      </c>
      <c r="M180" s="653"/>
      <c r="N180" s="652">
        <v>814169446</v>
      </c>
      <c r="O180" s="653"/>
      <c r="P180" s="654">
        <v>9125333</v>
      </c>
      <c r="Q180" s="651"/>
      <c r="R180" s="651"/>
      <c r="S180" s="651"/>
      <c r="T180" s="651"/>
      <c r="U180" s="651"/>
      <c r="V180" s="651"/>
      <c r="W180" s="651"/>
      <c r="X180" s="651"/>
    </row>
    <row r="181" spans="1:24" ht="8.25" customHeight="1">
      <c r="B181" s="652"/>
      <c r="C181" s="653"/>
      <c r="D181" s="652"/>
      <c r="E181" s="653"/>
      <c r="F181" s="652"/>
      <c r="G181" s="653"/>
      <c r="H181" s="652"/>
      <c r="I181" s="653"/>
      <c r="J181" s="652"/>
      <c r="K181" s="653"/>
      <c r="L181" s="652"/>
      <c r="M181" s="653"/>
      <c r="N181" s="652"/>
      <c r="O181" s="653"/>
      <c r="P181" s="654"/>
      <c r="Q181" s="651"/>
      <c r="R181" s="651"/>
      <c r="S181" s="651"/>
      <c r="T181" s="651"/>
      <c r="U181" s="651"/>
      <c r="V181" s="651"/>
      <c r="W181" s="651"/>
      <c r="X181" s="651"/>
    </row>
    <row r="182" spans="1:24" ht="12" customHeight="1">
      <c r="A182" s="556" t="s">
        <v>944</v>
      </c>
      <c r="B182" s="652">
        <v>26104731</v>
      </c>
      <c r="C182" s="653"/>
      <c r="D182" s="652">
        <v>463732.95999999996</v>
      </c>
      <c r="E182" s="653"/>
      <c r="F182" s="652">
        <v>5534737</v>
      </c>
      <c r="G182" s="653"/>
      <c r="H182" s="652">
        <v>102392.78</v>
      </c>
      <c r="I182" s="653"/>
      <c r="J182" s="652">
        <v>0</v>
      </c>
      <c r="K182" s="653"/>
      <c r="L182" s="652">
        <v>0</v>
      </c>
      <c r="M182" s="653"/>
      <c r="N182" s="652">
        <v>12044021</v>
      </c>
      <c r="O182" s="653"/>
      <c r="P182" s="654">
        <v>97742.46</v>
      </c>
      <c r="Q182" s="651"/>
      <c r="R182" s="651"/>
      <c r="S182" s="651"/>
      <c r="T182" s="651"/>
      <c r="U182" s="651"/>
      <c r="V182" s="651"/>
      <c r="W182" s="651"/>
      <c r="X182" s="651"/>
    </row>
    <row r="183" spans="1:24" ht="12" customHeight="1">
      <c r="A183" s="556" t="s">
        <v>208</v>
      </c>
      <c r="B183" s="652">
        <v>151074503</v>
      </c>
      <c r="C183" s="653"/>
      <c r="D183" s="652">
        <v>6531691</v>
      </c>
      <c r="E183" s="653"/>
      <c r="F183" s="652">
        <v>95577291</v>
      </c>
      <c r="G183" s="653"/>
      <c r="H183" s="652">
        <v>3631937</v>
      </c>
      <c r="I183" s="653"/>
      <c r="J183" s="652">
        <v>0</v>
      </c>
      <c r="K183" s="653"/>
      <c r="L183" s="652">
        <v>0</v>
      </c>
      <c r="M183" s="653"/>
      <c r="N183" s="652">
        <v>96231999</v>
      </c>
      <c r="O183" s="653"/>
      <c r="P183" s="654">
        <v>1301107</v>
      </c>
      <c r="Q183" s="651"/>
      <c r="R183" s="651"/>
      <c r="S183" s="651"/>
      <c r="T183" s="651"/>
      <c r="U183" s="651"/>
      <c r="V183" s="651"/>
      <c r="W183" s="651"/>
      <c r="X183" s="651"/>
    </row>
    <row r="184" spans="1:24" ht="12" customHeight="1">
      <c r="A184" s="556" t="s">
        <v>945</v>
      </c>
      <c r="B184" s="652">
        <v>123847100</v>
      </c>
      <c r="C184" s="653"/>
      <c r="D184" s="652">
        <v>4346372.9000000004</v>
      </c>
      <c r="E184" s="653"/>
      <c r="F184" s="652">
        <v>0</v>
      </c>
      <c r="G184" s="653"/>
      <c r="H184" s="652">
        <v>0</v>
      </c>
      <c r="I184" s="653"/>
      <c r="J184" s="652">
        <v>0</v>
      </c>
      <c r="K184" s="653"/>
      <c r="L184" s="652">
        <v>0</v>
      </c>
      <c r="M184" s="653"/>
      <c r="N184" s="652">
        <v>19219232</v>
      </c>
      <c r="O184" s="653"/>
      <c r="P184" s="654">
        <v>155675.76999999999</v>
      </c>
      <c r="Q184" s="651"/>
      <c r="R184" s="651"/>
      <c r="S184" s="651"/>
      <c r="T184" s="651"/>
      <c r="U184" s="651"/>
      <c r="V184" s="651"/>
      <c r="W184" s="651"/>
      <c r="X184" s="651"/>
    </row>
    <row r="185" spans="1:24" ht="12" customHeight="1">
      <c r="A185" s="556" t="s">
        <v>212</v>
      </c>
      <c r="B185" s="652">
        <v>786401068</v>
      </c>
      <c r="C185" s="661"/>
      <c r="D185" s="652">
        <v>39308276.409999996</v>
      </c>
      <c r="E185" s="661"/>
      <c r="F185" s="652">
        <v>42751024</v>
      </c>
      <c r="G185" s="661"/>
      <c r="H185" s="652">
        <v>1282530.72</v>
      </c>
      <c r="I185" s="661"/>
      <c r="J185" s="652">
        <v>3035166</v>
      </c>
      <c r="K185" s="661"/>
      <c r="L185" s="652">
        <v>30351.66</v>
      </c>
      <c r="M185" s="661"/>
      <c r="N185" s="652">
        <v>272410852</v>
      </c>
      <c r="O185" s="661"/>
      <c r="P185" s="654">
        <v>3541708.45</v>
      </c>
      <c r="Q185" s="651"/>
      <c r="R185" s="651"/>
      <c r="S185" s="651"/>
      <c r="T185" s="651"/>
      <c r="U185" s="651"/>
      <c r="V185" s="651"/>
      <c r="W185" s="651"/>
      <c r="X185" s="651"/>
    </row>
    <row r="186" spans="1:24" ht="12" customHeight="1">
      <c r="A186" s="556" t="s">
        <v>214</v>
      </c>
      <c r="B186" s="652">
        <v>54044676</v>
      </c>
      <c r="C186" s="661"/>
      <c r="D186" s="652">
        <v>1309527.76</v>
      </c>
      <c r="E186" s="661"/>
      <c r="F186" s="652">
        <v>24885000</v>
      </c>
      <c r="G186" s="661"/>
      <c r="H186" s="652">
        <v>437976</v>
      </c>
      <c r="I186" s="661"/>
      <c r="J186" s="652">
        <v>0</v>
      </c>
      <c r="K186" s="661"/>
      <c r="L186" s="652">
        <v>0</v>
      </c>
      <c r="M186" s="661"/>
      <c r="N186" s="652">
        <v>23148793</v>
      </c>
      <c r="O186" s="661"/>
      <c r="P186" s="654">
        <v>176117.84</v>
      </c>
      <c r="Q186" s="651"/>
      <c r="R186" s="651"/>
      <c r="S186" s="651"/>
      <c r="T186" s="651"/>
      <c r="U186" s="651"/>
      <c r="V186" s="651"/>
      <c r="W186" s="651"/>
      <c r="X186" s="651"/>
    </row>
    <row r="187" spans="1:24" ht="8.25" customHeight="1">
      <c r="B187" s="652"/>
      <c r="C187" s="661"/>
      <c r="D187" s="652"/>
      <c r="E187" s="661"/>
      <c r="F187" s="652"/>
      <c r="G187" s="661"/>
      <c r="H187" s="652"/>
      <c r="I187" s="661"/>
      <c r="J187" s="652"/>
      <c r="K187" s="661"/>
      <c r="L187" s="652"/>
      <c r="M187" s="661"/>
      <c r="N187" s="652"/>
      <c r="O187" s="661"/>
      <c r="P187" s="654"/>
      <c r="Q187" s="651"/>
      <c r="R187" s="651"/>
      <c r="S187" s="651"/>
      <c r="T187" s="651"/>
      <c r="U187" s="651"/>
      <c r="V187" s="651"/>
      <c r="W187" s="651"/>
      <c r="X187" s="651"/>
    </row>
    <row r="188" spans="1:24" ht="12" customHeight="1">
      <c r="A188" s="556" t="s">
        <v>178</v>
      </c>
      <c r="B188" s="652">
        <v>1839177085.7027025</v>
      </c>
      <c r="C188" s="653"/>
      <c r="D188" s="652">
        <v>62938141.530000001</v>
      </c>
      <c r="E188" s="653"/>
      <c r="F188" s="652">
        <v>683102290</v>
      </c>
      <c r="G188" s="653"/>
      <c r="H188" s="652">
        <v>15711352.669999998</v>
      </c>
      <c r="I188" s="653"/>
      <c r="J188" s="652">
        <v>0</v>
      </c>
      <c r="K188" s="653"/>
      <c r="L188" s="652">
        <v>0</v>
      </c>
      <c r="M188" s="653"/>
      <c r="N188" s="652">
        <v>983217187</v>
      </c>
      <c r="O188" s="653"/>
      <c r="P188" s="654">
        <v>11931685.944</v>
      </c>
      <c r="Q188" s="651"/>
      <c r="R188" s="651"/>
      <c r="S188" s="651"/>
      <c r="T188" s="651"/>
      <c r="U188" s="651"/>
      <c r="V188" s="651"/>
      <c r="W188" s="651"/>
      <c r="X188" s="651"/>
    </row>
    <row r="189" spans="1:24" ht="12" customHeight="1">
      <c r="A189" s="556" t="s">
        <v>37</v>
      </c>
      <c r="B189" s="652">
        <v>795948088</v>
      </c>
      <c r="C189" s="653"/>
      <c r="D189" s="652">
        <v>26310641</v>
      </c>
      <c r="E189" s="653"/>
      <c r="F189" s="652">
        <v>82456895</v>
      </c>
      <c r="G189" s="653"/>
      <c r="H189" s="652">
        <v>2844763</v>
      </c>
      <c r="I189" s="653"/>
      <c r="J189" s="652">
        <v>0</v>
      </c>
      <c r="K189" s="653"/>
      <c r="L189" s="652">
        <v>0</v>
      </c>
      <c r="M189" s="653"/>
      <c r="N189" s="652">
        <v>353581807</v>
      </c>
      <c r="O189" s="653"/>
      <c r="P189" s="654">
        <v>4233201.6100000003</v>
      </c>
      <c r="Q189" s="651"/>
      <c r="R189" s="651"/>
      <c r="S189" s="651"/>
      <c r="T189" s="651"/>
      <c r="U189" s="651"/>
      <c r="V189" s="651"/>
      <c r="W189" s="651"/>
      <c r="X189" s="651"/>
    </row>
    <row r="190" spans="1:24" ht="12" customHeight="1">
      <c r="A190" s="556" t="s">
        <v>215</v>
      </c>
      <c r="B190" s="652">
        <v>276355462</v>
      </c>
      <c r="C190" s="653"/>
      <c r="D190" s="652">
        <v>8813657.9799999986</v>
      </c>
      <c r="E190" s="653"/>
      <c r="F190" s="652">
        <v>82116408</v>
      </c>
      <c r="G190" s="653"/>
      <c r="H190" s="652">
        <v>2627725.06</v>
      </c>
      <c r="I190" s="653"/>
      <c r="J190" s="652">
        <v>0</v>
      </c>
      <c r="K190" s="653"/>
      <c r="L190" s="652">
        <v>0</v>
      </c>
      <c r="M190" s="653"/>
      <c r="N190" s="652">
        <v>37468284</v>
      </c>
      <c r="O190" s="653"/>
      <c r="P190" s="654">
        <v>442264.11</v>
      </c>
      <c r="Q190" s="651"/>
      <c r="R190" s="651"/>
      <c r="S190" s="651"/>
      <c r="T190" s="651"/>
      <c r="U190" s="651"/>
      <c r="V190" s="651"/>
      <c r="W190" s="651"/>
      <c r="X190" s="651"/>
    </row>
    <row r="191" spans="1:24" ht="12" customHeight="1">
      <c r="A191" s="556" t="s">
        <v>216</v>
      </c>
      <c r="B191" s="652">
        <v>205721726</v>
      </c>
      <c r="C191" s="661"/>
      <c r="D191" s="652">
        <v>4794810.47</v>
      </c>
      <c r="E191" s="661"/>
      <c r="F191" s="652">
        <v>17289599</v>
      </c>
      <c r="G191" s="661"/>
      <c r="H191" s="652">
        <v>214390.96000000002</v>
      </c>
      <c r="I191" s="661"/>
      <c r="J191" s="652">
        <v>0</v>
      </c>
      <c r="K191" s="661"/>
      <c r="L191" s="652">
        <v>0</v>
      </c>
      <c r="M191" s="661"/>
      <c r="N191" s="652">
        <v>62272187</v>
      </c>
      <c r="O191" s="661"/>
      <c r="P191" s="654">
        <v>562500.87</v>
      </c>
      <c r="Q191" s="651"/>
      <c r="R191" s="651"/>
      <c r="S191" s="651"/>
      <c r="T191" s="651"/>
      <c r="U191" s="651"/>
      <c r="V191" s="651"/>
      <c r="W191" s="651"/>
      <c r="X191" s="651"/>
    </row>
    <row r="192" spans="1:24" ht="12" customHeight="1">
      <c r="A192" s="556" t="s">
        <v>217</v>
      </c>
      <c r="B192" s="652">
        <v>725833725</v>
      </c>
      <c r="C192" s="661"/>
      <c r="D192" s="652">
        <v>25352602.080000002</v>
      </c>
      <c r="E192" s="661"/>
      <c r="F192" s="652">
        <v>49394285</v>
      </c>
      <c r="G192" s="661"/>
      <c r="H192" s="652">
        <v>1551413</v>
      </c>
      <c r="I192" s="661"/>
      <c r="J192" s="652">
        <v>0</v>
      </c>
      <c r="K192" s="661"/>
      <c r="L192" s="652">
        <v>0</v>
      </c>
      <c r="M192" s="661"/>
      <c r="N192" s="652">
        <v>271085304</v>
      </c>
      <c r="O192" s="661"/>
      <c r="P192" s="654">
        <v>2636517.5499999998</v>
      </c>
      <c r="Q192" s="651"/>
      <c r="R192" s="651"/>
      <c r="S192" s="651"/>
      <c r="T192" s="651"/>
      <c r="U192" s="651"/>
      <c r="V192" s="651"/>
      <c r="W192" s="651"/>
      <c r="X192" s="651"/>
    </row>
    <row r="193" spans="1:24" ht="8.25" customHeight="1">
      <c r="B193" s="652"/>
      <c r="C193" s="661"/>
      <c r="D193" s="652"/>
      <c r="E193" s="661"/>
      <c r="F193" s="652"/>
      <c r="G193" s="661"/>
      <c r="H193" s="652"/>
      <c r="I193" s="661"/>
      <c r="J193" s="652"/>
      <c r="K193" s="661"/>
      <c r="L193" s="652"/>
      <c r="M193" s="661"/>
      <c r="N193" s="652"/>
      <c r="O193" s="661"/>
      <c r="P193" s="654"/>
      <c r="Q193" s="651"/>
      <c r="R193" s="651"/>
      <c r="S193" s="651"/>
      <c r="T193" s="651"/>
      <c r="U193" s="651"/>
      <c r="V193" s="651"/>
      <c r="W193" s="651"/>
      <c r="X193" s="651"/>
    </row>
    <row r="194" spans="1:24" ht="12" customHeight="1">
      <c r="A194" s="556" t="s">
        <v>801</v>
      </c>
      <c r="B194" s="652">
        <v>3863321452.9899998</v>
      </c>
      <c r="C194" s="661"/>
      <c r="D194" s="652">
        <v>133668480.35000001</v>
      </c>
      <c r="E194" s="661"/>
      <c r="F194" s="652">
        <v>149879894.99000001</v>
      </c>
      <c r="G194" s="661"/>
      <c r="H194" s="652">
        <v>1498799.02</v>
      </c>
      <c r="I194" s="661"/>
      <c r="J194" s="652">
        <v>0</v>
      </c>
      <c r="K194" s="664"/>
      <c r="L194" s="652">
        <v>0</v>
      </c>
      <c r="M194" s="664"/>
      <c r="N194" s="652">
        <v>1873658599</v>
      </c>
      <c r="O194" s="661"/>
      <c r="P194" s="654">
        <v>8408072</v>
      </c>
      <c r="Q194" s="651"/>
      <c r="R194" s="651"/>
      <c r="S194" s="651"/>
      <c r="T194" s="651"/>
      <c r="U194" s="651"/>
      <c r="V194" s="651"/>
      <c r="W194" s="651"/>
      <c r="X194" s="651"/>
    </row>
    <row r="195" spans="1:24" ht="12" customHeight="1">
      <c r="A195" s="556" t="s">
        <v>219</v>
      </c>
      <c r="B195" s="652">
        <v>98282541</v>
      </c>
      <c r="C195" s="653"/>
      <c r="D195" s="652">
        <v>4856009.2</v>
      </c>
      <c r="E195" s="653"/>
      <c r="F195" s="652">
        <v>23476451</v>
      </c>
      <c r="G195" s="653"/>
      <c r="H195" s="652">
        <v>704293.53</v>
      </c>
      <c r="I195" s="653"/>
      <c r="J195" s="652">
        <v>0</v>
      </c>
      <c r="K195" s="653"/>
      <c r="L195" s="652">
        <v>0</v>
      </c>
      <c r="M195" s="653"/>
      <c r="N195" s="652">
        <v>83457642</v>
      </c>
      <c r="O195" s="653"/>
      <c r="P195" s="654">
        <v>636730.75</v>
      </c>
      <c r="Q195" s="651"/>
      <c r="R195" s="651"/>
      <c r="S195" s="651"/>
      <c r="T195" s="651"/>
      <c r="U195" s="651"/>
      <c r="V195" s="651"/>
      <c r="W195" s="651"/>
      <c r="X195" s="651"/>
    </row>
    <row r="196" spans="1:24" ht="12" customHeight="1">
      <c r="A196" s="556" t="s">
        <v>946</v>
      </c>
      <c r="B196" s="652">
        <v>75638071.599999994</v>
      </c>
      <c r="C196" s="661"/>
      <c r="D196" s="652">
        <v>2631645.52</v>
      </c>
      <c r="E196" s="661"/>
      <c r="F196" s="652">
        <v>83090</v>
      </c>
      <c r="G196" s="661"/>
      <c r="H196" s="652">
        <v>2908.15</v>
      </c>
      <c r="I196" s="661"/>
      <c r="J196" s="652">
        <v>0</v>
      </c>
      <c r="K196" s="664"/>
      <c r="L196" s="652">
        <v>0</v>
      </c>
      <c r="M196" s="664"/>
      <c r="N196" s="652">
        <v>58529832</v>
      </c>
      <c r="O196" s="661"/>
      <c r="P196" s="654">
        <v>316061.09000000003</v>
      </c>
      <c r="Q196" s="651"/>
      <c r="R196" s="651"/>
      <c r="S196" s="651"/>
      <c r="T196" s="651"/>
      <c r="U196" s="651"/>
      <c r="V196" s="651"/>
      <c r="W196" s="651"/>
      <c r="X196" s="651"/>
    </row>
    <row r="197" spans="1:24" ht="12" customHeight="1">
      <c r="A197" s="556" t="s">
        <v>223</v>
      </c>
      <c r="B197" s="652">
        <v>258579427</v>
      </c>
      <c r="C197" s="661"/>
      <c r="D197" s="652">
        <v>11108069</v>
      </c>
      <c r="E197" s="661"/>
      <c r="F197" s="652">
        <v>124891288</v>
      </c>
      <c r="G197" s="661"/>
      <c r="H197" s="652">
        <v>1623587</v>
      </c>
      <c r="I197" s="661"/>
      <c r="J197" s="652">
        <v>0</v>
      </c>
      <c r="K197" s="661"/>
      <c r="L197" s="652">
        <v>0</v>
      </c>
      <c r="M197" s="661"/>
      <c r="N197" s="652">
        <v>67752877</v>
      </c>
      <c r="O197" s="661"/>
      <c r="P197" s="654">
        <v>557284</v>
      </c>
      <c r="Q197" s="651"/>
      <c r="R197" s="651"/>
      <c r="S197" s="651"/>
      <c r="T197" s="651"/>
      <c r="U197" s="651"/>
      <c r="V197" s="651"/>
      <c r="W197" s="651"/>
      <c r="X197" s="651"/>
    </row>
    <row r="198" spans="1:24" ht="12" customHeight="1"/>
    <row r="199" spans="1:24" s="636" customFormat="1" ht="12.75" customHeight="1">
      <c r="A199" s="595" t="s">
        <v>39</v>
      </c>
      <c r="B199" s="595">
        <f>SUM(B146:B167,B168:B197)</f>
        <v>19561516103.342697</v>
      </c>
      <c r="C199" s="595"/>
      <c r="D199" s="595">
        <f>SUM(D146:D167,D168:D197)</f>
        <v>719031677.84237897</v>
      </c>
      <c r="E199" s="595"/>
      <c r="F199" s="595">
        <f>SUM(F146:F167,F168:F197)</f>
        <v>3603204437.4200001</v>
      </c>
      <c r="G199" s="595"/>
      <c r="H199" s="595">
        <f>SUM(H146:H167,H168:H197)</f>
        <v>85377618.353249997</v>
      </c>
      <c r="I199" s="595"/>
      <c r="J199" s="595">
        <f>SUM(J146:J167,J168:J197)</f>
        <v>3035166</v>
      </c>
      <c r="K199" s="595"/>
      <c r="L199" s="595">
        <f>SUM(L146:L167,L168:L197)</f>
        <v>30351.66</v>
      </c>
      <c r="M199" s="595"/>
      <c r="N199" s="595">
        <f>SUM(N146:N167,N168:N197)</f>
        <v>8957060478</v>
      </c>
      <c r="O199" s="595"/>
      <c r="P199" s="595">
        <f>SUM(P146:P167,P168:P197)</f>
        <v>84138523.204560027</v>
      </c>
      <c r="Q199" s="637"/>
      <c r="R199" s="637"/>
      <c r="S199" s="637"/>
      <c r="T199" s="637"/>
      <c r="U199" s="637"/>
      <c r="V199" s="637"/>
      <c r="W199" s="637"/>
      <c r="X199" s="637"/>
    </row>
    <row r="200" spans="1:24" s="636" customFormat="1" ht="12.75" customHeight="1">
      <c r="A200" s="595" t="s">
        <v>34</v>
      </c>
      <c r="B200" s="595">
        <f>B140</f>
        <v>52038975317.18</v>
      </c>
      <c r="C200" s="595"/>
      <c r="D200" s="595">
        <f>D140</f>
        <v>1839470992.8928003</v>
      </c>
      <c r="E200" s="595"/>
      <c r="F200" s="595">
        <f>F140</f>
        <v>5962957637.3099995</v>
      </c>
      <c r="G200" s="595"/>
      <c r="H200" s="595">
        <f>H140</f>
        <v>117272636.94529995</v>
      </c>
      <c r="I200" s="595"/>
      <c r="J200" s="595">
        <f>J140</f>
        <v>1082852640</v>
      </c>
      <c r="K200" s="595"/>
      <c r="L200" s="595">
        <f>L140</f>
        <v>11460620.470000001</v>
      </c>
      <c r="M200" s="595"/>
      <c r="N200" s="595">
        <f>N140</f>
        <v>29498771905.529999</v>
      </c>
      <c r="O200" s="595"/>
      <c r="P200" s="595">
        <f>P140</f>
        <v>228737916.51503003</v>
      </c>
      <c r="Q200" s="637"/>
      <c r="R200" s="637"/>
      <c r="S200" s="637"/>
      <c r="T200" s="637"/>
      <c r="U200" s="637"/>
      <c r="V200" s="637"/>
      <c r="W200" s="637"/>
      <c r="X200" s="637"/>
    </row>
    <row r="201" spans="1:24" ht="11.25" customHeight="1"/>
    <row r="202" spans="1:24" ht="12.75" customHeight="1">
      <c r="A202" s="629" t="s">
        <v>40</v>
      </c>
      <c r="B202" s="595">
        <f>SUM(B199:B201)</f>
        <v>71600491420.522705</v>
      </c>
      <c r="C202" s="595"/>
      <c r="D202" s="595">
        <f>SUM(D199:D201)</f>
        <v>2558502670.7351794</v>
      </c>
      <c r="E202" s="595"/>
      <c r="F202" s="595">
        <f>SUM(F199:F201)</f>
        <v>9566162074.7299995</v>
      </c>
      <c r="G202" s="595"/>
      <c r="H202" s="595">
        <f>SUM(H199:H201)</f>
        <v>202650255.29854995</v>
      </c>
      <c r="I202" s="595"/>
      <c r="J202" s="595">
        <f>SUM(J199:J201)</f>
        <v>1085887806</v>
      </c>
      <c r="K202" s="595"/>
      <c r="L202" s="595">
        <f>SUM(L199:L201)</f>
        <v>11490972.130000001</v>
      </c>
      <c r="M202" s="595"/>
      <c r="N202" s="595">
        <f>SUM(N199:N201)</f>
        <v>38455832383.529999</v>
      </c>
      <c r="O202" s="595"/>
      <c r="P202" s="595">
        <f>SUM(P199:P201)</f>
        <v>312876439.71959007</v>
      </c>
      <c r="Q202" s="637"/>
      <c r="R202" s="637"/>
      <c r="S202" s="637"/>
      <c r="T202" s="637"/>
      <c r="U202" s="637"/>
      <c r="V202" s="637"/>
      <c r="W202" s="637"/>
      <c r="X202" s="637"/>
    </row>
    <row r="203" spans="1:24" ht="11.25" customHeight="1">
      <c r="A203" s="558"/>
      <c r="B203" s="558"/>
      <c r="C203" s="558"/>
      <c r="D203" s="558"/>
      <c r="E203" s="558"/>
      <c r="F203" s="558"/>
      <c r="G203" s="558"/>
      <c r="H203" s="558"/>
      <c r="I203" s="558"/>
      <c r="J203" s="558"/>
      <c r="K203" s="558"/>
      <c r="L203" s="558"/>
      <c r="M203" s="558"/>
      <c r="N203" s="558"/>
      <c r="O203" s="558"/>
      <c r="P203" s="558"/>
      <c r="Q203" s="671"/>
      <c r="R203" s="671"/>
      <c r="S203" s="671"/>
      <c r="T203" s="671"/>
      <c r="U203" s="671"/>
      <c r="V203" s="671"/>
      <c r="W203" s="671"/>
      <c r="X203" s="671"/>
    </row>
    <row r="204" spans="1:24" ht="11.25" customHeight="1">
      <c r="A204" s="1088"/>
      <c r="B204" s="1088"/>
      <c r="C204" s="1088"/>
      <c r="D204" s="1088"/>
      <c r="E204" s="1088"/>
      <c r="F204" s="1088"/>
      <c r="G204" s="1088"/>
      <c r="H204" s="1088"/>
      <c r="I204" s="1088"/>
      <c r="J204" s="1088"/>
      <c r="K204" s="1088"/>
      <c r="L204" s="1088"/>
      <c r="M204" s="1088"/>
      <c r="N204" s="1088"/>
      <c r="O204" s="1088"/>
      <c r="P204" s="1088"/>
      <c r="Q204" s="673"/>
      <c r="R204" s="673"/>
      <c r="S204" s="673"/>
      <c r="T204" s="673"/>
      <c r="U204" s="673"/>
      <c r="V204" s="673"/>
      <c r="W204" s="673"/>
      <c r="X204" s="673"/>
    </row>
    <row r="205" spans="1:24" ht="12" customHeight="1">
      <c r="A205" s="1088" t="s">
        <v>2</v>
      </c>
      <c r="B205" s="1088"/>
      <c r="C205" s="1088"/>
      <c r="D205" s="1088"/>
      <c r="E205" s="1088"/>
      <c r="F205" s="1088"/>
      <c r="G205" s="1088"/>
      <c r="H205" s="1088"/>
      <c r="I205" s="1088"/>
      <c r="J205" s="1088"/>
      <c r="K205" s="1088"/>
      <c r="L205" s="1088"/>
      <c r="M205" s="1088"/>
      <c r="N205" s="1088"/>
      <c r="O205" s="1088"/>
      <c r="P205" s="1088"/>
      <c r="Q205" s="673"/>
      <c r="R205" s="673"/>
      <c r="S205" s="673"/>
      <c r="T205" s="673"/>
      <c r="U205" s="673"/>
      <c r="V205" s="673"/>
      <c r="W205" s="673"/>
      <c r="X205" s="673"/>
    </row>
    <row r="206" spans="1:24" ht="12" customHeight="1">
      <c r="A206" s="1088" t="s">
        <v>974</v>
      </c>
      <c r="B206" s="1088"/>
      <c r="C206" s="1088"/>
      <c r="D206" s="1088"/>
      <c r="E206" s="1088"/>
      <c r="F206" s="1088"/>
      <c r="G206" s="1088"/>
      <c r="H206" s="1088"/>
      <c r="I206" s="1088"/>
      <c r="J206" s="1088"/>
      <c r="K206" s="1088"/>
      <c r="L206" s="1088"/>
      <c r="M206" s="1088"/>
      <c r="N206" s="1088"/>
      <c r="O206" s="1088"/>
      <c r="P206" s="1088"/>
      <c r="Q206" s="673"/>
      <c r="R206" s="673"/>
      <c r="S206" s="673"/>
      <c r="T206" s="673"/>
      <c r="U206" s="673"/>
      <c r="V206" s="673"/>
      <c r="W206" s="673"/>
      <c r="X206" s="673"/>
    </row>
    <row r="207" spans="1:24" ht="12" customHeight="1">
      <c r="A207" s="1089" t="s">
        <v>975</v>
      </c>
      <c r="B207" s="1089"/>
      <c r="C207" s="1089"/>
      <c r="D207" s="1089"/>
      <c r="E207" s="1089"/>
      <c r="F207" s="1089"/>
      <c r="G207" s="1089"/>
      <c r="H207" s="1089"/>
      <c r="I207" s="1089"/>
      <c r="J207" s="1089"/>
      <c r="K207" s="1089"/>
      <c r="L207" s="1089"/>
      <c r="M207" s="1089"/>
      <c r="N207" s="1089"/>
      <c r="O207" s="1089"/>
      <c r="P207" s="1089"/>
      <c r="Q207" s="674"/>
      <c r="R207" s="674"/>
      <c r="S207" s="674"/>
      <c r="T207" s="674"/>
      <c r="U207" s="674"/>
      <c r="V207" s="674"/>
      <c r="W207" s="674"/>
      <c r="X207" s="674"/>
    </row>
    <row r="208" spans="1:24" ht="12" customHeight="1">
      <c r="A208" s="1089" t="s">
        <v>976</v>
      </c>
      <c r="B208" s="1089"/>
      <c r="C208" s="1089"/>
      <c r="D208" s="1089"/>
      <c r="E208" s="1089"/>
      <c r="F208" s="1089"/>
      <c r="G208" s="1089"/>
      <c r="H208" s="1089"/>
      <c r="I208" s="1089"/>
      <c r="J208" s="1089"/>
      <c r="K208" s="1089"/>
      <c r="L208" s="1089"/>
      <c r="M208" s="1089"/>
      <c r="N208" s="1089"/>
      <c r="O208" s="1089"/>
      <c r="P208" s="1089"/>
      <c r="Q208" s="674"/>
      <c r="R208" s="674"/>
      <c r="S208" s="674"/>
      <c r="T208" s="674"/>
      <c r="U208" s="674"/>
      <c r="V208" s="674"/>
      <c r="W208" s="674"/>
      <c r="X208" s="674"/>
    </row>
    <row r="209" spans="1:24" ht="12" customHeight="1">
      <c r="A209" s="1089" t="s">
        <v>977</v>
      </c>
      <c r="B209" s="1089"/>
      <c r="C209" s="1089"/>
      <c r="D209" s="1089"/>
      <c r="E209" s="1089"/>
      <c r="F209" s="1089"/>
      <c r="G209" s="1089"/>
      <c r="H209" s="1089"/>
      <c r="I209" s="1089"/>
      <c r="J209" s="1089"/>
      <c r="K209" s="1089"/>
      <c r="L209" s="1089"/>
      <c r="M209" s="1089"/>
      <c r="N209" s="1089"/>
      <c r="O209" s="1089"/>
      <c r="P209" s="1089"/>
      <c r="Q209" s="674"/>
      <c r="R209" s="674"/>
      <c r="S209" s="674"/>
      <c r="T209" s="674"/>
      <c r="U209" s="674"/>
      <c r="V209" s="674"/>
      <c r="W209" s="674"/>
      <c r="X209" s="674"/>
    </row>
    <row r="210" spans="1:24" ht="12" customHeight="1">
      <c r="A210" s="1089" t="s">
        <v>978</v>
      </c>
      <c r="B210" s="1089"/>
      <c r="C210" s="1089"/>
      <c r="D210" s="1089"/>
      <c r="E210" s="1089"/>
      <c r="F210" s="1089"/>
      <c r="G210" s="1089"/>
      <c r="H210" s="1089"/>
      <c r="I210" s="1089"/>
      <c r="J210" s="1089"/>
      <c r="K210" s="1089"/>
      <c r="L210" s="1089"/>
      <c r="M210" s="1089"/>
      <c r="N210" s="1089"/>
      <c r="O210" s="1089"/>
      <c r="P210" s="1089"/>
      <c r="Q210" s="674"/>
      <c r="R210" s="674"/>
      <c r="S210" s="674"/>
      <c r="T210" s="674"/>
      <c r="U210" s="674"/>
      <c r="V210" s="674"/>
      <c r="W210" s="674"/>
      <c r="X210" s="674"/>
    </row>
    <row r="211" spans="1:24" ht="12" customHeight="1">
      <c r="A211" s="1089" t="s">
        <v>979</v>
      </c>
      <c r="B211" s="1089"/>
      <c r="C211" s="1089"/>
      <c r="D211" s="1089"/>
      <c r="E211" s="1089"/>
      <c r="F211" s="1089"/>
      <c r="G211" s="1089"/>
      <c r="H211" s="1089"/>
      <c r="I211" s="1089"/>
      <c r="J211" s="1089"/>
      <c r="K211" s="1089"/>
      <c r="L211" s="1089"/>
      <c r="M211" s="1089"/>
      <c r="N211" s="1089"/>
      <c r="O211" s="1089"/>
      <c r="P211" s="1089"/>
      <c r="Q211" s="674"/>
      <c r="R211" s="674"/>
      <c r="S211" s="674"/>
      <c r="T211" s="674"/>
      <c r="U211" s="674"/>
      <c r="V211" s="674"/>
      <c r="W211" s="674"/>
      <c r="X211" s="674"/>
    </row>
    <row r="212" spans="1:24" ht="12" customHeight="1">
      <c r="A212" s="1089" t="s">
        <v>980</v>
      </c>
      <c r="B212" s="1089"/>
      <c r="C212" s="1089"/>
      <c r="D212" s="1089"/>
      <c r="E212" s="1089"/>
      <c r="F212" s="1089"/>
      <c r="G212" s="1089"/>
      <c r="H212" s="1089"/>
      <c r="I212" s="1089"/>
      <c r="J212" s="1089"/>
      <c r="K212" s="1089"/>
      <c r="L212" s="1089"/>
      <c r="M212" s="1089"/>
      <c r="N212" s="1089"/>
      <c r="O212" s="1089"/>
      <c r="P212" s="1089"/>
      <c r="Q212" s="674"/>
      <c r="R212" s="674"/>
      <c r="S212" s="674"/>
      <c r="T212" s="674"/>
      <c r="U212" s="674"/>
      <c r="V212" s="674"/>
      <c r="W212" s="674"/>
      <c r="X212" s="674"/>
    </row>
    <row r="213" spans="1:24">
      <c r="A213" s="556" t="s">
        <v>1109</v>
      </c>
    </row>
    <row r="219" spans="1:24" ht="7.5" customHeight="1"/>
  </sheetData>
  <mergeCells count="33">
    <mergeCell ref="A210:P210"/>
    <mergeCell ref="A211:P211"/>
    <mergeCell ref="A212:P212"/>
    <mergeCell ref="A204:P204"/>
    <mergeCell ref="A205:P205"/>
    <mergeCell ref="A206:P206"/>
    <mergeCell ref="A207:P207"/>
    <mergeCell ref="A208:P208"/>
    <mergeCell ref="A209:P209"/>
    <mergeCell ref="B143:D143"/>
    <mergeCell ref="F143:H143"/>
    <mergeCell ref="J143:L143"/>
    <mergeCell ref="N143:P143"/>
    <mergeCell ref="B173:D173"/>
    <mergeCell ref="F173:H173"/>
    <mergeCell ref="J173:L173"/>
    <mergeCell ref="N173:P173"/>
    <mergeCell ref="B89:D89"/>
    <mergeCell ref="F89:H89"/>
    <mergeCell ref="J89:L89"/>
    <mergeCell ref="N89:P89"/>
    <mergeCell ref="B131:D131"/>
    <mergeCell ref="F131:H131"/>
    <mergeCell ref="J131:L131"/>
    <mergeCell ref="N131:P131"/>
    <mergeCell ref="B5:D5"/>
    <mergeCell ref="F5:H5"/>
    <mergeCell ref="J5:L5"/>
    <mergeCell ref="N5:P5"/>
    <mergeCell ref="B47:D47"/>
    <mergeCell ref="F47:H47"/>
    <mergeCell ref="J47:L47"/>
    <mergeCell ref="N47:P47"/>
  </mergeCells>
  <conditionalFormatting sqref="Q1:X1048576">
    <cfRule type="cellIs" dxfId="0" priority="1" stopIfTrue="1" operator="notBetween">
      <formula>-0.25</formula>
      <formula>0.25</formula>
    </cfRule>
  </conditionalFormatting>
  <printOptions horizontalCentered="1"/>
  <pageMargins left="0.25" right="0.25" top="0.65" bottom="0.65" header="0.25" footer="0.4"/>
  <pageSetup scale="98" fitToHeight="5" orientation="landscape" r:id="rId1"/>
  <headerFooter alignWithMargins="0"/>
  <rowBreaks count="4" manualBreakCount="4">
    <brk id="42" max="15" man="1"/>
    <brk id="84" max="15" man="1"/>
    <brk id="126" max="15" man="1"/>
    <brk id="168" max="15" man="1"/>
  </rowBreaks>
</worksheet>
</file>

<file path=xl/worksheets/sheet3.xml><?xml version="1.0" encoding="utf-8"?>
<worksheet xmlns="http://schemas.openxmlformats.org/spreadsheetml/2006/main" xmlns:r="http://schemas.openxmlformats.org/officeDocument/2006/relationships">
  <sheetPr codeName="Sheet2">
    <pageSetUpPr fitToPage="1"/>
  </sheetPr>
  <dimension ref="A1:HT111"/>
  <sheetViews>
    <sheetView zoomScaleNormal="100" workbookViewId="0">
      <selection activeCell="C19" sqref="C19"/>
    </sheetView>
  </sheetViews>
  <sheetFormatPr defaultColWidth="12.42578125" defaultRowHeight="12.75"/>
  <cols>
    <col min="1" max="1" width="38.42578125" style="15" customWidth="1"/>
    <col min="2" max="3" width="20.140625" style="15" customWidth="1"/>
    <col min="4" max="4" width="6.5703125" style="15" customWidth="1"/>
    <col min="5" max="6" width="12.42578125" style="15" customWidth="1"/>
    <col min="7" max="11" width="13.7109375" style="15" customWidth="1"/>
    <col min="12" max="12" width="7.42578125" style="15" customWidth="1"/>
    <col min="13" max="14" width="13.7109375" style="15" customWidth="1"/>
    <col min="15" max="18" width="17.5703125" style="15" bestFit="1" customWidth="1"/>
    <col min="19" max="19" width="33.7109375" style="15" customWidth="1"/>
    <col min="20" max="20" width="20.85546875" style="15" bestFit="1" customWidth="1"/>
    <col min="21" max="228" width="12.42578125" style="15" customWidth="1"/>
  </cols>
  <sheetData>
    <row r="1" spans="1:226" ht="18">
      <c r="A1" s="12" t="s">
        <v>10</v>
      </c>
      <c r="B1" s="13"/>
      <c r="C1" s="13"/>
      <c r="D1" s="13"/>
      <c r="E1" s="8" t="s">
        <v>1062</v>
      </c>
      <c r="F1" s="14"/>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row>
    <row r="2" spans="1:226" ht="15.75">
      <c r="A2"/>
      <c r="B2"/>
      <c r="C2"/>
      <c r="D2"/>
      <c r="E2" s="16" t="s">
        <v>411</v>
      </c>
      <c r="F2" s="16"/>
      <c r="G2" s="17"/>
      <c r="H2" s="17"/>
      <c r="I2" s="17"/>
      <c r="J2" s="17"/>
      <c r="K2" s="17"/>
      <c r="L2" s="17"/>
      <c r="M2" s="13"/>
      <c r="N2" s="13"/>
      <c r="O2" s="13"/>
      <c r="P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row>
    <row r="3" spans="1:226" ht="14.1" customHeight="1">
      <c r="A3"/>
      <c r="B3" s="18" t="s">
        <v>440</v>
      </c>
      <c r="C3" s="18" t="s">
        <v>1061</v>
      </c>
      <c r="D3"/>
      <c r="E3" s="16" t="s">
        <v>412</v>
      </c>
      <c r="F3" s="16"/>
      <c r="G3" s="17"/>
      <c r="H3" s="17"/>
      <c r="I3" s="17"/>
      <c r="J3" s="17"/>
      <c r="K3" s="17"/>
      <c r="L3" s="17"/>
      <c r="M3" s="13"/>
      <c r="N3" s="13"/>
      <c r="O3" s="13"/>
      <c r="P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row>
    <row r="4" spans="1:226" ht="9.75" customHeight="1">
      <c r="A4"/>
      <c r="B4"/>
      <c r="C4"/>
      <c r="D4"/>
      <c r="E4" s="19"/>
      <c r="F4" s="19"/>
      <c r="G4" s="17"/>
      <c r="H4" s="17"/>
      <c r="I4" s="17"/>
      <c r="J4" s="17"/>
      <c r="K4" s="17"/>
      <c r="L4" s="1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row>
    <row r="5" spans="1:226" ht="15.75">
      <c r="A5" s="20" t="s">
        <v>1056</v>
      </c>
      <c r="B5"/>
      <c r="C5"/>
      <c r="D5"/>
      <c r="E5" s="11"/>
      <c r="F5" s="11"/>
      <c r="G5" s="13"/>
      <c r="H5" s="13"/>
      <c r="I5" s="13"/>
      <c r="J5" s="13"/>
      <c r="K5" s="13"/>
      <c r="L5" s="13"/>
      <c r="M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row>
    <row r="6" spans="1:226" ht="15">
      <c r="A6" t="s">
        <v>11</v>
      </c>
      <c r="B6" s="21">
        <f>ROUND(15378507857.38,-3)</f>
        <v>15378508000</v>
      </c>
      <c r="C6" s="21">
        <f>ROUND(16181951052.67,-3)</f>
        <v>16181951000</v>
      </c>
      <c r="D6" s="21"/>
      <c r="E6" s="22">
        <f>C6/B6-1</f>
        <v>5.2244535035518291E-2</v>
      </c>
      <c r="F6" s="22"/>
      <c r="G6" s="23"/>
      <c r="H6" s="23"/>
      <c r="I6" s="23"/>
      <c r="J6" s="23"/>
      <c r="K6" s="23"/>
      <c r="L6" s="23"/>
      <c r="M6" s="13"/>
      <c r="N6" s="13"/>
      <c r="O6" s="13"/>
      <c r="P6" s="13"/>
      <c r="Q6" s="21"/>
      <c r="S6"/>
      <c r="T6" s="24"/>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row>
    <row r="7" spans="1:226" ht="15">
      <c r="A7" s="25" t="s">
        <v>12</v>
      </c>
      <c r="B7" s="26">
        <f>ROUND(B8-B6,-3)</f>
        <v>22960031000</v>
      </c>
      <c r="C7" s="26">
        <f>ROUND(C8-C6,-3)</f>
        <v>22802582000</v>
      </c>
      <c r="D7" s="26"/>
      <c r="E7" s="27">
        <f>C7/B7-1</f>
        <v>-6.857525584351376E-3</v>
      </c>
      <c r="F7" s="28"/>
      <c r="G7" s="23"/>
      <c r="H7" s="23"/>
      <c r="I7" s="23"/>
      <c r="J7" s="23"/>
      <c r="K7" s="23"/>
      <c r="L7" s="23"/>
      <c r="M7" s="13"/>
      <c r="N7" s="13"/>
      <c r="O7" s="13"/>
      <c r="P7" s="13"/>
      <c r="Q7" s="26"/>
      <c r="S7" s="25"/>
      <c r="T7" s="24"/>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row>
    <row r="8" spans="1:226" ht="18" customHeight="1" thickBot="1">
      <c r="A8" s="29" t="s">
        <v>13</v>
      </c>
      <c r="B8" s="30">
        <f>ROUND(38338538777.24,-3)</f>
        <v>38338539000</v>
      </c>
      <c r="C8" s="30">
        <f>ROUND(38984532578.99,-3)</f>
        <v>38984533000</v>
      </c>
      <c r="D8" s="31"/>
      <c r="E8" s="32">
        <f>C8/B8-1</f>
        <v>1.6849729198079144E-2</v>
      </c>
      <c r="F8" s="28"/>
      <c r="G8" s="23"/>
      <c r="H8" s="23"/>
      <c r="I8" s="23"/>
      <c r="J8" s="23"/>
      <c r="K8" s="23"/>
      <c r="L8" s="23"/>
      <c r="M8" s="13"/>
      <c r="N8" s="13"/>
      <c r="O8" s="13"/>
      <c r="P8" s="13"/>
      <c r="Q8" s="13"/>
      <c r="R8" s="13"/>
      <c r="S8"/>
      <c r="T8" s="3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row>
    <row r="9" spans="1:226" ht="15.75" thickTop="1">
      <c r="A9" s="25"/>
      <c r="B9" s="34"/>
      <c r="C9" s="34"/>
      <c r="D9" s="34"/>
      <c r="E9" s="35"/>
      <c r="F9" s="28"/>
      <c r="G9" s="36"/>
      <c r="H9" s="36"/>
      <c r="I9" s="36"/>
      <c r="J9" s="36"/>
      <c r="K9" s="36"/>
      <c r="L9" s="36"/>
      <c r="M9" s="13"/>
      <c r="N9" s="13"/>
      <c r="O9" s="13"/>
      <c r="P9" s="13"/>
      <c r="Q9" s="13"/>
      <c r="R9" s="13"/>
      <c r="S9" s="25"/>
      <c r="T9" s="37"/>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row>
    <row r="10" spans="1:226" ht="15.75">
      <c r="A10" s="20" t="s">
        <v>1057</v>
      </c>
      <c r="B10" s="21"/>
      <c r="C10" s="21"/>
      <c r="D10" s="21"/>
      <c r="E10" s="22"/>
      <c r="F10" s="22"/>
      <c r="G10" s="36"/>
      <c r="H10" s="36"/>
      <c r="I10" s="36"/>
      <c r="J10" s="36"/>
      <c r="K10" s="36"/>
      <c r="L10" s="36"/>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row>
    <row r="11" spans="1:226" ht="15">
      <c r="A11" t="s">
        <v>11</v>
      </c>
      <c r="B11" s="21">
        <f>'By Account'!B17</f>
        <v>14098511000</v>
      </c>
      <c r="C11" s="21">
        <f>'By Account'!C17</f>
        <v>14938089000</v>
      </c>
      <c r="D11" s="21"/>
      <c r="E11" s="22">
        <f>C11/B11-1</f>
        <v>5.9550827743440449E-2</v>
      </c>
      <c r="F11" s="22"/>
      <c r="G11" s="23"/>
      <c r="H11" s="23"/>
      <c r="I11" s="23"/>
      <c r="J11" s="23"/>
      <c r="K11" s="23"/>
      <c r="L11" s="23"/>
      <c r="M11" s="13"/>
      <c r="N11" s="810"/>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row>
    <row r="12" spans="1:226" ht="15">
      <c r="A12" s="25" t="s">
        <v>12</v>
      </c>
      <c r="B12" s="26">
        <f>'By Account'!B38</f>
        <v>736401000</v>
      </c>
      <c r="C12" s="26">
        <f>'By Account'!C38</f>
        <v>786987000</v>
      </c>
      <c r="D12" s="26"/>
      <c r="E12" s="27">
        <f>C12/B12-1</f>
        <v>6.8693551475351056E-2</v>
      </c>
      <c r="F12" s="28"/>
      <c r="G12" s="23"/>
      <c r="H12" s="23"/>
      <c r="I12" s="23"/>
      <c r="J12" s="23"/>
      <c r="K12" s="23"/>
      <c r="L12" s="2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row>
    <row r="13" spans="1:226" ht="18" customHeight="1" thickBot="1">
      <c r="A13" s="29" t="s">
        <v>14</v>
      </c>
      <c r="B13" s="30">
        <f>SUM(B11:B12)</f>
        <v>14834912000</v>
      </c>
      <c r="C13" s="30">
        <f>SUM(C11:C12)</f>
        <v>15725076000</v>
      </c>
      <c r="D13" s="31"/>
      <c r="E13" s="32">
        <f>C13/B13-1</f>
        <v>6.0004670064776944E-2</v>
      </c>
      <c r="F13" s="28"/>
      <c r="G13" s="23"/>
      <c r="H13" s="23"/>
      <c r="I13" s="23"/>
      <c r="J13" s="23"/>
      <c r="K13" s="23"/>
      <c r="L13" s="2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row>
    <row r="14" spans="1:226" ht="14.1" customHeight="1" thickTop="1">
      <c r="A14" s="25"/>
      <c r="B14" s="34"/>
      <c r="C14" s="34"/>
      <c r="D14" s="34"/>
      <c r="E14" s="38"/>
      <c r="F14" s="28"/>
      <c r="G14" s="36"/>
      <c r="H14" s="36"/>
      <c r="I14" s="36"/>
      <c r="J14" s="36"/>
      <c r="K14" s="36"/>
      <c r="L14" s="36"/>
      <c r="M14" s="13"/>
      <c r="O14" s="39"/>
      <c r="P14" s="40"/>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row>
    <row r="15" spans="1:226" ht="15.75">
      <c r="A15" s="20" t="s">
        <v>15</v>
      </c>
      <c r="B15" s="21"/>
      <c r="C15" s="21"/>
      <c r="D15" s="21"/>
      <c r="E15" s="22"/>
      <c r="F15" s="22"/>
      <c r="G15" s="36"/>
      <c r="H15" s="36"/>
      <c r="I15" s="36"/>
      <c r="J15" s="36"/>
      <c r="K15" s="36"/>
      <c r="L15" s="36"/>
      <c r="M15" s="13"/>
      <c r="N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row>
    <row r="16" spans="1:226" ht="15">
      <c r="A16" t="s">
        <v>11</v>
      </c>
      <c r="B16" s="21">
        <f>B6-B11</f>
        <v>1279997000</v>
      </c>
      <c r="C16" s="21">
        <f>C6-C11</f>
        <v>1243862000</v>
      </c>
      <c r="D16" s="21"/>
      <c r="E16" s="22">
        <f>C16/B16-1</f>
        <v>-2.8230534915316241E-2</v>
      </c>
      <c r="F16" s="22"/>
      <c r="G16" s="23"/>
      <c r="H16" s="23"/>
      <c r="I16" s="23"/>
      <c r="J16" s="23"/>
      <c r="K16" s="23"/>
      <c r="L16" s="23"/>
      <c r="M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row>
    <row r="17" spans="1:226" ht="15">
      <c r="A17" s="25" t="s">
        <v>12</v>
      </c>
      <c r="B17" s="26">
        <f>B7-B12</f>
        <v>22223630000</v>
      </c>
      <c r="C17" s="26">
        <f>C7-C12</f>
        <v>22015595000</v>
      </c>
      <c r="D17" s="26"/>
      <c r="E17" s="27">
        <f>C17/B17-1</f>
        <v>-9.3609819817914719E-3</v>
      </c>
      <c r="F17" s="28"/>
      <c r="G17" s="23"/>
      <c r="H17" s="23"/>
      <c r="I17" s="23"/>
      <c r="J17" s="23"/>
      <c r="K17" s="23"/>
      <c r="L17" s="23"/>
      <c r="M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row>
    <row r="18" spans="1:226" ht="18" customHeight="1" thickBot="1">
      <c r="A18" s="29" t="s">
        <v>16</v>
      </c>
      <c r="B18" s="30">
        <f>SUM(B16:B17)</f>
        <v>23503627000</v>
      </c>
      <c r="C18" s="30">
        <f>SUM(C16:C17)</f>
        <v>23259457000</v>
      </c>
      <c r="D18" s="31"/>
      <c r="E18" s="41">
        <f>C18/B18-1</f>
        <v>-1.0388609383564451E-2</v>
      </c>
      <c r="F18" s="28"/>
      <c r="G18" s="42"/>
      <c r="H18" s="23"/>
      <c r="I18" s="23"/>
      <c r="J18" s="23"/>
      <c r="K18" s="23"/>
      <c r="L18" s="23"/>
      <c r="M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row>
    <row r="19" spans="1:226" ht="14.1" customHeight="1" thickTop="1">
      <c r="A19" s="25"/>
      <c r="B19" s="25"/>
      <c r="C19" s="25"/>
      <c r="D19" s="25"/>
      <c r="E19" s="43"/>
      <c r="F19" s="43"/>
      <c r="G19" s="23"/>
      <c r="H19" s="23"/>
      <c r="I19" s="23"/>
      <c r="J19" s="23"/>
      <c r="K19" s="23"/>
      <c r="L19" s="23"/>
      <c r="M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row>
    <row r="20" spans="1:226" ht="12" customHeight="1">
      <c r="A20" s="15" t="s">
        <v>2</v>
      </c>
      <c r="B20"/>
      <c r="C20" s="44"/>
      <c r="D20"/>
      <c r="E20" s="19"/>
      <c r="F20" s="19"/>
      <c r="G20" s="23"/>
      <c r="H20" s="23"/>
      <c r="I20" s="23"/>
      <c r="J20" s="23"/>
      <c r="K20" s="23"/>
      <c r="L20" s="23"/>
      <c r="M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row>
    <row r="21" spans="1:226" ht="12" customHeight="1">
      <c r="A21" s="15" t="s">
        <v>17</v>
      </c>
      <c r="B21"/>
      <c r="C21" s="155"/>
      <c r="D21"/>
      <c r="E21" s="19"/>
      <c r="F21" s="19"/>
      <c r="G21" s="23"/>
      <c r="H21" s="23"/>
      <c r="I21" s="23"/>
      <c r="J21" s="23"/>
      <c r="K21" s="23"/>
      <c r="L21" s="23"/>
      <c r="M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row>
    <row r="22" spans="1:226" ht="14.1" customHeight="1">
      <c r="A22" s="813" t="s">
        <v>1059</v>
      </c>
      <c r="B22" s="541"/>
      <c r="C22" s="541"/>
      <c r="D22"/>
      <c r="E22" s="11"/>
      <c r="F22" s="11"/>
      <c r="G22" s="13"/>
      <c r="H22" s="13"/>
      <c r="I22" s="13"/>
      <c r="J22" s="13"/>
      <c r="K22" s="13"/>
      <c r="L22" s="13"/>
      <c r="M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row>
    <row r="23" spans="1:226" ht="14.1" customHeight="1">
      <c r="A23" s="813" t="s">
        <v>1058</v>
      </c>
      <c r="B23" s="541"/>
      <c r="C23" s="541"/>
      <c r="D23" s="2"/>
      <c r="E23" s="11"/>
      <c r="F23" s="11"/>
      <c r="G23" s="13"/>
      <c r="H23" s="13"/>
      <c r="I23" s="13"/>
      <c r="J23" s="13"/>
      <c r="K23" s="13"/>
      <c r="L23" s="13"/>
      <c r="M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row>
    <row r="24" spans="1:226" ht="14.1" customHeight="1">
      <c r="A24" s="2"/>
      <c r="B24" s="541"/>
      <c r="C24" s="541"/>
      <c r="D24" s="2"/>
      <c r="E24" s="11"/>
      <c r="F24" s="11"/>
      <c r="G24" s="13"/>
      <c r="H24" s="13"/>
      <c r="I24" s="13"/>
      <c r="J24" s="13"/>
      <c r="K24" s="13"/>
      <c r="L24" s="13"/>
      <c r="M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row>
    <row r="25" spans="1:226" ht="14.1" customHeight="1">
      <c r="A25" s="2"/>
      <c r="B25" s="541"/>
      <c r="C25" s="541"/>
      <c r="D25" s="2"/>
      <c r="E25" s="11"/>
      <c r="F25" s="11"/>
      <c r="G25" s="13"/>
      <c r="H25" s="13"/>
      <c r="I25" s="13"/>
      <c r="J25" s="13"/>
      <c r="K25" s="13"/>
      <c r="L25" s="13"/>
      <c r="M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row>
    <row r="26" spans="1:226" ht="14.1" customHeight="1">
      <c r="A26" s="2"/>
      <c r="B26" s="2"/>
      <c r="C26" s="2"/>
      <c r="D26" s="2"/>
      <c r="E26" s="11"/>
      <c r="F26" s="11"/>
      <c r="G26" s="13"/>
      <c r="H26" s="13"/>
      <c r="I26" s="13"/>
      <c r="J26" s="13"/>
      <c r="K26" s="13"/>
      <c r="L26" s="13"/>
      <c r="M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row>
    <row r="27" spans="1:226" ht="14.1" customHeight="1">
      <c r="A27" s="2"/>
      <c r="B27" s="2"/>
      <c r="C27" s="2"/>
      <c r="D27" s="2"/>
      <c r="E27" s="11"/>
      <c r="F27" s="11"/>
      <c r="G27" s="13"/>
      <c r="H27" s="13"/>
      <c r="I27" s="13"/>
      <c r="J27" s="13"/>
      <c r="K27" s="13"/>
      <c r="L27" s="13"/>
      <c r="M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row>
    <row r="28" spans="1:226" ht="14.1" customHeight="1">
      <c r="A28" s="45" t="s">
        <v>18</v>
      </c>
      <c r="B28" s="2"/>
      <c r="C28" s="2"/>
      <c r="D28" s="2"/>
      <c r="E28" s="11"/>
      <c r="F28" s="11"/>
      <c r="G28" s="13"/>
      <c r="H28" s="13" t="s">
        <v>44</v>
      </c>
      <c r="I28" s="15" t="s">
        <v>11</v>
      </c>
      <c r="J28" s="15" t="s">
        <v>12</v>
      </c>
      <c r="K28" s="13"/>
      <c r="L28" s="13"/>
      <c r="M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row>
    <row r="29" spans="1:226" ht="14.1" customHeight="1">
      <c r="A29" s="45"/>
      <c r="B29" s="2"/>
      <c r="C29" s="2"/>
      <c r="D29" s="2"/>
      <c r="E29" s="11"/>
      <c r="F29" s="11"/>
      <c r="G29" s="13"/>
      <c r="H29" s="13">
        <v>1995</v>
      </c>
      <c r="I29" s="202">
        <v>6.9</v>
      </c>
      <c r="J29" s="13">
        <v>9.66</v>
      </c>
      <c r="K29" s="13"/>
      <c r="L29" s="13"/>
      <c r="M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row>
    <row r="30" spans="1:226" ht="14.1" customHeight="1">
      <c r="A30" s="2"/>
      <c r="B30" s="18" t="s">
        <v>440</v>
      </c>
      <c r="C30" s="18" t="s">
        <v>1061</v>
      </c>
      <c r="D30" s="3"/>
      <c r="E30" s="11"/>
      <c r="F30" s="11"/>
      <c r="G30" s="13"/>
      <c r="H30" s="13">
        <v>1996</v>
      </c>
      <c r="I30" s="13">
        <v>7.36</v>
      </c>
      <c r="J30" s="13">
        <v>9.82</v>
      </c>
      <c r="K30" s="13"/>
      <c r="L30" s="13"/>
      <c r="M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row>
    <row r="31" spans="1:226" ht="15.75" customHeight="1">
      <c r="A31" s="14" t="s">
        <v>19</v>
      </c>
      <c r="B31" s="3" t="s">
        <v>20</v>
      </c>
      <c r="C31" s="3" t="s">
        <v>20</v>
      </c>
      <c r="D31" s="3"/>
      <c r="E31" s="11"/>
      <c r="F31" s="11"/>
      <c r="G31" s="13"/>
      <c r="H31" s="13">
        <v>1997</v>
      </c>
      <c r="I31" s="13">
        <v>8.15</v>
      </c>
      <c r="J31" s="13">
        <v>10.34</v>
      </c>
      <c r="K31" s="13"/>
      <c r="L31" s="13"/>
      <c r="M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row>
    <row r="32" spans="1:226" ht="12" customHeight="1">
      <c r="A32" s="2"/>
      <c r="B32" s="2"/>
      <c r="C32" s="2"/>
      <c r="D32" s="2"/>
      <c r="E32" s="11"/>
      <c r="F32" s="11"/>
      <c r="G32" s="13"/>
      <c r="H32" s="13">
        <v>1998</v>
      </c>
      <c r="I32" s="13">
        <v>8.81</v>
      </c>
      <c r="J32" s="13">
        <v>10.44</v>
      </c>
      <c r="K32" s="13"/>
      <c r="L32" s="13"/>
      <c r="M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row>
    <row r="33" spans="1:226" ht="15" customHeight="1">
      <c r="A33" s="2" t="s">
        <v>21</v>
      </c>
      <c r="B33" s="46">
        <f>48322742.57</f>
        <v>48322742.57</v>
      </c>
      <c r="C33" s="46">
        <f>49311979.45</f>
        <v>49311979.450000003</v>
      </c>
      <c r="D33" s="46"/>
      <c r="E33" s="11"/>
      <c r="F33" s="11"/>
      <c r="G33" s="13"/>
      <c r="H33" s="13">
        <v>1999</v>
      </c>
      <c r="I33" s="13">
        <v>9.73</v>
      </c>
      <c r="J33" s="13">
        <v>11.15</v>
      </c>
      <c r="K33" s="13"/>
      <c r="L33" s="13"/>
      <c r="M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row>
    <row r="34" spans="1:226" ht="15" customHeight="1">
      <c r="A34" s="2" t="s">
        <v>22</v>
      </c>
      <c r="B34" s="4">
        <f>3101981.79</f>
        <v>3101981.79</v>
      </c>
      <c r="C34" s="4">
        <f>3250502.94</f>
        <v>3250502.94</v>
      </c>
      <c r="D34" s="4"/>
      <c r="E34" s="11"/>
      <c r="F34" s="11"/>
      <c r="G34" s="13"/>
      <c r="H34" s="13">
        <v>2000</v>
      </c>
      <c r="I34" s="13">
        <v>10.82</v>
      </c>
      <c r="J34" s="13">
        <v>11.99</v>
      </c>
      <c r="K34" s="13"/>
      <c r="L34" s="13"/>
      <c r="M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row>
    <row r="35" spans="1:226" ht="15" customHeight="1">
      <c r="A35" s="2" t="s">
        <v>23</v>
      </c>
      <c r="B35" s="1">
        <f>748665.3-73358.24</f>
        <v>675307.06</v>
      </c>
      <c r="C35" s="1">
        <f>748666.12-103079.52</f>
        <v>645586.6</v>
      </c>
      <c r="D35" s="4"/>
      <c r="E35" s="11"/>
      <c r="F35" s="11"/>
      <c r="G35" s="13"/>
      <c r="H35" s="13">
        <v>2001</v>
      </c>
      <c r="I35" s="13">
        <v>11.13</v>
      </c>
      <c r="J35" s="13">
        <v>12.93</v>
      </c>
      <c r="K35" s="13"/>
      <c r="L35" s="13"/>
      <c r="M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row>
    <row r="36" spans="1:226" ht="15" customHeight="1">
      <c r="A36" s="2" t="s">
        <v>24</v>
      </c>
      <c r="B36" s="1">
        <f>36677187.84</f>
        <v>36677187.840000004</v>
      </c>
      <c r="C36" s="1">
        <f>30088500.98</f>
        <v>30088500.98</v>
      </c>
      <c r="D36" s="4"/>
      <c r="E36" s="11"/>
      <c r="F36" s="11"/>
      <c r="G36" s="13"/>
      <c r="H36" s="13">
        <v>2002</v>
      </c>
      <c r="I36" s="13">
        <v>10.71</v>
      </c>
      <c r="J36" s="13">
        <v>15.19</v>
      </c>
      <c r="K36" s="13"/>
      <c r="L36" s="13"/>
      <c r="M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row>
    <row r="37" spans="1:226" ht="13.5" customHeight="1">
      <c r="A37" s="2"/>
      <c r="B37" s="46"/>
      <c r="C37" s="46"/>
      <c r="D37" s="46"/>
      <c r="E37" s="11"/>
      <c r="F37" s="11"/>
      <c r="G37" s="13"/>
      <c r="H37" s="13">
        <v>2003</v>
      </c>
      <c r="I37" s="47">
        <v>10.9237</v>
      </c>
      <c r="J37" s="47">
        <v>15.3003</v>
      </c>
      <c r="K37" s="13"/>
      <c r="L37" s="13"/>
      <c r="M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row>
    <row r="38" spans="1:226" ht="15.75" customHeight="1" thickBot="1">
      <c r="A38" s="48" t="s">
        <v>25</v>
      </c>
      <c r="B38" s="49">
        <f>SUM(B33:B36)</f>
        <v>88777219.260000005</v>
      </c>
      <c r="C38" s="49">
        <f>SUM(C33:C36)</f>
        <v>83296569.969999999</v>
      </c>
      <c r="D38" s="46"/>
      <c r="E38" s="11"/>
      <c r="F38" s="11"/>
      <c r="G38" s="13"/>
      <c r="H38" s="13">
        <v>2004</v>
      </c>
      <c r="I38" s="47">
        <v>11.953799999999999</v>
      </c>
      <c r="J38" s="47">
        <v>16.713699999999999</v>
      </c>
      <c r="K38" s="13"/>
      <c r="L38" s="13"/>
      <c r="M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row>
    <row r="39" spans="1:226" ht="14.1" customHeight="1" thickTop="1">
      <c r="A39" s="50"/>
      <c r="B39" s="51"/>
      <c r="C39" s="51"/>
      <c r="D39" s="46"/>
      <c r="E39" s="11"/>
      <c r="F39" s="11"/>
      <c r="G39" s="13"/>
      <c r="H39" s="13">
        <v>2005</v>
      </c>
      <c r="I39" s="47">
        <v>13.755000000000001</v>
      </c>
      <c r="J39" s="47">
        <v>17.722999999999999</v>
      </c>
      <c r="K39" s="13"/>
      <c r="L39" s="13"/>
      <c r="M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row>
    <row r="40" spans="1:226" ht="15.75" customHeight="1">
      <c r="A40" s="14" t="s">
        <v>26</v>
      </c>
      <c r="B40" s="52">
        <f>B38/B13*100</f>
        <v>0.59843441781117412</v>
      </c>
      <c r="C40" s="52">
        <f>C38/C13*100</f>
        <v>0.52970535703611221</v>
      </c>
      <c r="D40" s="53"/>
      <c r="E40" s="11"/>
      <c r="F40" s="11"/>
      <c r="G40" s="13"/>
      <c r="H40" s="13">
        <v>2006</v>
      </c>
      <c r="I40" s="47">
        <v>14.903528</v>
      </c>
      <c r="J40" s="47">
        <v>18.971191999999999</v>
      </c>
      <c r="K40" s="13"/>
      <c r="L40" s="13"/>
      <c r="M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row>
    <row r="41" spans="1:226" ht="14.1" customHeight="1">
      <c r="A41" s="14"/>
      <c r="B41" s="13"/>
      <c r="C41" s="13"/>
      <c r="D41" s="13"/>
      <c r="E41" s="11"/>
      <c r="F41" s="11"/>
      <c r="G41" s="13"/>
      <c r="H41" s="13">
        <v>2007</v>
      </c>
      <c r="I41" s="47">
        <v>15.632781</v>
      </c>
      <c r="J41" s="47">
        <v>19.617564999999999</v>
      </c>
      <c r="K41" s="13"/>
      <c r="L41" s="13"/>
      <c r="M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row>
    <row r="42" spans="1:226" ht="14.1" customHeight="1">
      <c r="A42" s="13" t="s">
        <v>27</v>
      </c>
      <c r="B42" s="13"/>
      <c r="C42" s="13"/>
      <c r="D42" s="13"/>
      <c r="E42" s="11"/>
      <c r="F42" s="11"/>
      <c r="G42" s="13"/>
      <c r="H42" s="13">
        <v>2008</v>
      </c>
      <c r="I42" s="47">
        <v>15.844583999999999</v>
      </c>
      <c r="J42" s="47">
        <v>18.257210000000001</v>
      </c>
      <c r="K42" s="13"/>
      <c r="L42" s="13"/>
      <c r="M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row>
    <row r="43" spans="1:226" ht="14.1" customHeight="1">
      <c r="A43" s="13" t="s">
        <v>28</v>
      </c>
      <c r="B43" s="13"/>
      <c r="C43" s="13"/>
      <c r="D43" s="13"/>
      <c r="E43" s="11"/>
      <c r="F43" s="11"/>
      <c r="G43" s="13"/>
      <c r="H43" s="13">
        <v>2009</v>
      </c>
      <c r="I43" s="47">
        <v>14.397963000000001</v>
      </c>
      <c r="J43" s="47">
        <v>19.133918000000001</v>
      </c>
      <c r="K43" s="13"/>
      <c r="L43" s="13"/>
      <c r="M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row>
    <row r="44" spans="1:226" ht="14.1" customHeight="1">
      <c r="A44" s="13" t="s">
        <v>29</v>
      </c>
      <c r="B44" s="13"/>
      <c r="C44" s="13"/>
      <c r="D44" s="13"/>
      <c r="E44" s="11"/>
      <c r="F44" s="11"/>
      <c r="G44" s="13"/>
      <c r="H44" s="13">
        <v>2010</v>
      </c>
      <c r="I44" s="989">
        <v>14.310392999999999</v>
      </c>
      <c r="J44" s="989">
        <v>21.508365999999999</v>
      </c>
      <c r="K44" s="13"/>
      <c r="L44" s="13"/>
      <c r="M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row>
    <row r="45" spans="1:226" ht="13.5" customHeight="1">
      <c r="A45" s="13" t="s">
        <v>1090</v>
      </c>
      <c r="B45" s="13"/>
      <c r="C45" s="13"/>
      <c r="D45" s="13"/>
      <c r="E45" s="11"/>
      <c r="F45" s="11"/>
      <c r="G45" s="13"/>
      <c r="H45" s="13">
        <v>2011</v>
      </c>
      <c r="I45" s="202">
        <f>B6/1000000000</f>
        <v>15.378508</v>
      </c>
      <c r="J45" s="202">
        <f>B7/1000000000</f>
        <v>22.960031000000001</v>
      </c>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row>
    <row r="46" spans="1:226" ht="14.1" customHeight="1">
      <c r="E46" s="54"/>
      <c r="F46" s="54"/>
      <c r="G46" s="13"/>
      <c r="H46" s="13">
        <v>2012</v>
      </c>
      <c r="I46" s="990">
        <f>C6/1000000000</f>
        <v>16.181951000000002</v>
      </c>
      <c r="J46" s="990">
        <f>C7/1000000000</f>
        <v>22.802582000000001</v>
      </c>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row>
    <row r="47" spans="1:226">
      <c r="E47" s="54"/>
      <c r="F47" s="54"/>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row>
    <row r="48" spans="1:226">
      <c r="E48" s="54"/>
      <c r="F48" s="54"/>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row>
    <row r="49" spans="1:226">
      <c r="E49" s="54"/>
      <c r="F49" s="54"/>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row>
    <row r="50" spans="1:226">
      <c r="E50" s="54"/>
      <c r="F50" s="54"/>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row>
    <row r="51" spans="1:226">
      <c r="A51" s="13"/>
      <c r="B51" s="13"/>
      <c r="C51" s="13"/>
      <c r="D51" s="13"/>
      <c r="E51" s="54"/>
      <c r="F51" s="54"/>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row>
    <row r="52" spans="1:226" ht="15.75">
      <c r="A52" s="55"/>
      <c r="B52" s="10"/>
      <c r="C52" s="10"/>
      <c r="D52" s="10"/>
      <c r="E52" s="10"/>
      <c r="F52" s="10"/>
      <c r="G52" s="10"/>
      <c r="H52" s="10"/>
      <c r="I52" s="10"/>
      <c r="J52" s="10"/>
      <c r="K52" s="10"/>
      <c r="L52" s="10"/>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row>
    <row r="53" spans="1:226" ht="14.1" customHeight="1">
      <c r="B53" s="13"/>
      <c r="C53" s="13"/>
      <c r="D53" s="13"/>
      <c r="E53" s="54"/>
      <c r="F53" s="54"/>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row>
    <row r="54" spans="1:226" ht="14.1" customHeight="1">
      <c r="A54" s="13"/>
      <c r="B54" s="13"/>
      <c r="C54" s="13"/>
      <c r="D54" s="13"/>
      <c r="E54" s="54"/>
      <c r="F54" s="54"/>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row>
    <row r="55" spans="1:226" ht="14.1" customHeight="1">
      <c r="A55" s="13"/>
      <c r="B55" s="13"/>
      <c r="C55" s="13"/>
      <c r="D55" s="13"/>
      <c r="E55" s="54"/>
      <c r="F55" s="54"/>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row>
    <row r="56" spans="1:226" ht="14.1" customHeight="1">
      <c r="A56" s="13"/>
      <c r="B56" s="13"/>
      <c r="C56" s="13"/>
      <c r="D56" s="13"/>
      <c r="E56" s="54"/>
      <c r="F56" s="54"/>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row>
    <row r="57" spans="1:226" ht="14.1" customHeight="1">
      <c r="A57" s="13"/>
      <c r="B57" s="13"/>
      <c r="C57" s="13"/>
      <c r="D57" s="13"/>
      <c r="E57" s="54"/>
      <c r="F57" s="54"/>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row>
    <row r="58" spans="1:226" ht="14.1" customHeight="1">
      <c r="A58" s="13"/>
      <c r="B58" s="13"/>
      <c r="C58" s="13"/>
      <c r="D58" s="13"/>
      <c r="E58" s="54"/>
      <c r="F58" s="54"/>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row>
    <row r="59" spans="1:226" ht="14.1" customHeight="1">
      <c r="A59" s="13"/>
      <c r="B59" s="13"/>
      <c r="C59" s="13"/>
      <c r="D59" s="13"/>
      <c r="E59" s="54"/>
      <c r="F59" s="54"/>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row>
    <row r="60" spans="1:226" ht="14.1" customHeight="1">
      <c r="A60" s="13"/>
      <c r="B60" s="56"/>
      <c r="C60" s="56"/>
      <c r="D60" s="56"/>
      <c r="E60" s="54"/>
      <c r="F60" s="54"/>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row>
    <row r="61" spans="1:226" ht="14.1" customHeight="1">
      <c r="A61" s="13"/>
      <c r="B61" s="13"/>
      <c r="C61" s="13"/>
      <c r="D61" s="13"/>
      <c r="E61" s="54"/>
      <c r="F61" s="54"/>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row>
    <row r="62" spans="1:226" ht="14.1" customHeight="1">
      <c r="A62" s="13"/>
      <c r="B62" s="13"/>
      <c r="C62" s="13"/>
      <c r="D62" s="13"/>
      <c r="E62" s="54"/>
      <c r="F62" s="54"/>
      <c r="G62" s="13"/>
      <c r="H62" s="13"/>
      <c r="I62" s="13"/>
      <c r="J62" s="13"/>
      <c r="K62" s="13"/>
      <c r="L62" s="13"/>
      <c r="M62" s="13"/>
      <c r="N62" s="13"/>
      <c r="O62" s="57"/>
      <c r="P62" s="58"/>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row>
    <row r="63" spans="1:226" ht="14.1" customHeight="1">
      <c r="A63" s="59"/>
      <c r="B63" s="13"/>
      <c r="C63" s="13"/>
      <c r="D63" s="13"/>
      <c r="E63" s="54"/>
      <c r="F63" s="54"/>
      <c r="G63" s="13"/>
      <c r="H63" s="13"/>
      <c r="I63" s="13"/>
      <c r="J63" s="13"/>
      <c r="K63" s="13"/>
      <c r="L63" s="13"/>
      <c r="M63" s="13"/>
      <c r="N63" s="60"/>
      <c r="O63" s="61"/>
      <c r="P63" s="61"/>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row>
    <row r="64" spans="1:226" ht="14.1" customHeight="1">
      <c r="A64" s="13"/>
      <c r="B64" s="13"/>
      <c r="C64" s="13"/>
      <c r="D64" s="13"/>
      <c r="E64" s="54"/>
      <c r="F64" s="54"/>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row>
    <row r="65" spans="1:226" ht="14.1" customHeight="1">
      <c r="A65" s="13"/>
      <c r="B65" s="13"/>
      <c r="C65" s="13"/>
      <c r="D65" s="13"/>
      <c r="E65" s="54"/>
      <c r="F65" s="54"/>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row>
    <row r="66" spans="1:226" ht="14.1" customHeight="1">
      <c r="A66" s="13"/>
      <c r="B66" s="13"/>
      <c r="C66" s="13"/>
      <c r="D66" s="13"/>
      <c r="E66" s="54"/>
      <c r="F66" s="54"/>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row>
    <row r="67" spans="1:226" ht="14.1" customHeight="1">
      <c r="A67" s="13"/>
      <c r="B67" s="13"/>
      <c r="C67" s="13"/>
      <c r="D67" s="13"/>
      <c r="E67" s="54"/>
      <c r="F67" s="54"/>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row>
    <row r="68" spans="1:226" ht="14.1" customHeight="1">
      <c r="A68" s="13"/>
      <c r="B68" s="13"/>
      <c r="C68" s="13"/>
      <c r="D68" s="13"/>
      <c r="E68" s="54"/>
      <c r="F68" s="54"/>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row>
    <row r="69" spans="1:226" ht="14.1" customHeight="1">
      <c r="A69" s="13"/>
      <c r="B69" s="13"/>
      <c r="C69" s="13"/>
      <c r="D69" s="13"/>
      <c r="E69" s="54"/>
      <c r="F69" s="54"/>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row>
    <row r="70" spans="1:226" ht="14.1" customHeight="1">
      <c r="A70" s="13"/>
      <c r="B70" s="13"/>
      <c r="C70" s="13"/>
      <c r="D70" s="13"/>
      <c r="E70" s="54"/>
      <c r="F70" s="54"/>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row>
    <row r="71" spans="1:226" ht="14.1" customHeight="1">
      <c r="A71" s="13"/>
      <c r="B71" s="13"/>
      <c r="C71" s="13"/>
      <c r="D71" s="13"/>
      <c r="E71" s="54"/>
      <c r="F71" s="54"/>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row>
    <row r="72" spans="1:226" ht="14.1" customHeight="1">
      <c r="A72" s="13"/>
      <c r="B72" s="13"/>
      <c r="C72" s="13"/>
      <c r="D72" s="13"/>
      <c r="E72" s="54"/>
      <c r="F72" s="54"/>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row>
    <row r="73" spans="1:226" ht="14.1" customHeight="1">
      <c r="A73" s="13"/>
      <c r="B73" s="13"/>
      <c r="C73" s="13"/>
      <c r="D73" s="13"/>
      <c r="E73" s="54"/>
      <c r="F73" s="54"/>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row>
    <row r="74" spans="1:226" ht="14.1" customHeight="1">
      <c r="A74" s="13"/>
      <c r="B74" s="13"/>
      <c r="C74" s="13"/>
      <c r="D74" s="13"/>
      <c r="E74" s="54"/>
      <c r="F74" s="54"/>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row>
    <row r="75" spans="1:226" ht="14.1" customHeight="1">
      <c r="A75" s="13"/>
      <c r="B75" s="13"/>
      <c r="C75" s="13"/>
      <c r="D75" s="13"/>
      <c r="E75" s="54"/>
      <c r="F75" s="54"/>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row>
    <row r="76" spans="1:226" ht="14.1" customHeight="1">
      <c r="A76" s="13"/>
      <c r="B76" s="13"/>
      <c r="C76" s="13"/>
      <c r="D76" s="13"/>
      <c r="E76" s="54"/>
      <c r="F76" s="54"/>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row>
    <row r="77" spans="1:226" ht="14.1" customHeight="1">
      <c r="A77" s="13"/>
      <c r="B77" s="13"/>
      <c r="C77" s="13"/>
      <c r="D77" s="13"/>
      <c r="E77" s="54"/>
      <c r="F77" s="54"/>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row>
    <row r="78" spans="1:226" ht="14.1" customHeight="1">
      <c r="A78" s="13"/>
      <c r="B78" s="13"/>
      <c r="C78" s="13"/>
      <c r="D78" s="13"/>
      <c r="E78" s="54"/>
      <c r="F78" s="54"/>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row>
    <row r="79" spans="1:226" ht="14.1" customHeight="1">
      <c r="A79" s="13"/>
      <c r="B79" s="13"/>
      <c r="C79" s="13"/>
      <c r="D79" s="13"/>
      <c r="E79" s="54"/>
      <c r="F79" s="54"/>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row>
    <row r="80" spans="1:226" ht="14.1" customHeight="1">
      <c r="A80" s="13"/>
      <c r="B80" s="13"/>
      <c r="C80" s="13"/>
      <c r="D80" s="13"/>
      <c r="E80" s="54"/>
      <c r="F80" s="54"/>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row>
    <row r="81" spans="1:226" ht="14.1" customHeight="1">
      <c r="A81" s="13"/>
      <c r="B81" s="13"/>
      <c r="C81" s="13"/>
      <c r="D81" s="13"/>
      <c r="E81" s="54"/>
      <c r="F81" s="54"/>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row>
    <row r="82" spans="1:226" ht="14.1" customHeight="1">
      <c r="A82" s="13"/>
      <c r="B82" s="13"/>
      <c r="C82" s="13"/>
      <c r="D82" s="13"/>
      <c r="E82" s="54"/>
      <c r="F82" s="54"/>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row>
    <row r="83" spans="1:226" ht="14.1" customHeight="1">
      <c r="A83" s="13"/>
      <c r="B83" s="13"/>
      <c r="C83" s="13"/>
      <c r="D83" s="13"/>
      <c r="E83" s="54"/>
      <c r="F83" s="54"/>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row>
    <row r="84" spans="1:226" ht="14.1" customHeight="1">
      <c r="A84" s="13"/>
      <c r="B84" s="13"/>
      <c r="C84" s="13"/>
      <c r="D84" s="13"/>
      <c r="E84" s="54"/>
      <c r="F84" s="54"/>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row>
    <row r="85" spans="1:226" ht="14.1" customHeight="1">
      <c r="A85" s="13"/>
      <c r="B85" s="13"/>
      <c r="C85" s="13"/>
      <c r="D85" s="13"/>
      <c r="E85" s="54"/>
      <c r="F85" s="54"/>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row>
    <row r="86" spans="1:226" ht="14.1" customHeight="1">
      <c r="A86" s="13"/>
      <c r="B86" s="13"/>
      <c r="C86" s="13"/>
      <c r="D86" s="13"/>
      <c r="E86" s="54"/>
      <c r="F86" s="54"/>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row>
    <row r="87" spans="1:226" ht="14.1" customHeight="1">
      <c r="A87" s="13"/>
      <c r="B87" s="13"/>
      <c r="C87" s="13"/>
      <c r="D87" s="13"/>
      <c r="E87" s="54"/>
      <c r="F87" s="54"/>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row>
    <row r="88" spans="1:226" ht="14.1" customHeight="1">
      <c r="A88" s="13"/>
      <c r="B88" s="13"/>
      <c r="C88" s="13"/>
      <c r="D88" s="13"/>
      <c r="E88" s="54"/>
      <c r="F88" s="54"/>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row>
    <row r="89" spans="1:226" ht="14.1" customHeight="1">
      <c r="A89" s="13"/>
      <c r="B89" s="13"/>
      <c r="C89" s="13"/>
      <c r="D89" s="13"/>
      <c r="E89" s="54"/>
      <c r="F89" s="54"/>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row>
    <row r="90" spans="1:226" ht="14.1" customHeight="1">
      <c r="A90" s="13"/>
      <c r="B90" s="13"/>
      <c r="C90" s="13"/>
      <c r="D90" s="13"/>
      <c r="E90" s="54"/>
      <c r="F90" s="54"/>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row>
    <row r="91" spans="1:226" ht="14.1" customHeight="1">
      <c r="A91" s="13"/>
      <c r="B91" s="13"/>
      <c r="C91" s="13"/>
      <c r="D91" s="13"/>
      <c r="E91" s="54"/>
      <c r="F91" s="54"/>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row>
    <row r="92" spans="1:226" ht="14.1" customHeight="1">
      <c r="A92" s="13"/>
      <c r="B92" s="13"/>
      <c r="C92" s="13"/>
      <c r="D92" s="13"/>
      <c r="E92" s="54"/>
      <c r="F92" s="54"/>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row>
    <row r="93" spans="1:226" ht="14.1" customHeight="1">
      <c r="A93" s="13"/>
      <c r="B93" s="13"/>
      <c r="C93" s="13"/>
      <c r="D93" s="13"/>
      <c r="E93" s="54"/>
      <c r="F93" s="54"/>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row>
    <row r="94" spans="1:226" ht="14.1" customHeight="1">
      <c r="A94" s="13"/>
      <c r="B94" s="13"/>
      <c r="C94" s="13"/>
      <c r="D94" s="13"/>
      <c r="E94" s="54"/>
      <c r="F94" s="54"/>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row>
    <row r="95" spans="1:226" ht="14.1" customHeight="1">
      <c r="A95" s="13"/>
      <c r="B95" s="13"/>
      <c r="C95" s="13"/>
      <c r="D95" s="13"/>
      <c r="E95" s="54"/>
      <c r="F95" s="54"/>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row>
    <row r="96" spans="1:226" ht="14.1" customHeight="1">
      <c r="A96" s="13"/>
      <c r="B96" s="13"/>
      <c r="C96" s="13"/>
      <c r="D96" s="13"/>
      <c r="E96" s="54"/>
      <c r="F96" s="54"/>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row>
    <row r="97" spans="1:226" ht="14.1" customHeight="1">
      <c r="A97" s="13"/>
      <c r="B97" s="13"/>
      <c r="C97" s="13"/>
      <c r="D97" s="13"/>
      <c r="E97" s="54"/>
      <c r="F97" s="54"/>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row>
    <row r="98" spans="1:226" ht="14.1" customHeight="1">
      <c r="A98" s="13"/>
      <c r="B98" s="13"/>
      <c r="C98" s="13"/>
      <c r="D98" s="13"/>
      <c r="E98" s="54"/>
      <c r="F98" s="54"/>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row>
    <row r="99" spans="1:226" ht="14.1" customHeight="1">
      <c r="A99" s="13"/>
      <c r="B99" s="13"/>
      <c r="C99" s="13"/>
      <c r="D99" s="13"/>
      <c r="E99" s="54"/>
      <c r="F99" s="54"/>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row>
    <row r="100" spans="1:226" ht="14.1" customHeight="1">
      <c r="A100" s="13"/>
      <c r="B100" s="13"/>
      <c r="C100" s="13"/>
      <c r="D100" s="13"/>
      <c r="E100" s="54"/>
      <c r="F100" s="54"/>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row>
    <row r="101" spans="1:226" ht="14.1" customHeight="1">
      <c r="A101" s="13"/>
      <c r="B101" s="13"/>
      <c r="C101" s="13"/>
      <c r="D101" s="13"/>
      <c r="E101" s="54"/>
      <c r="F101" s="54"/>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row>
    <row r="102" spans="1:226" ht="14.1" customHeight="1">
      <c r="A102" s="13"/>
      <c r="B102" s="13"/>
      <c r="C102" s="13"/>
      <c r="D102" s="13"/>
      <c r="E102" s="54"/>
      <c r="F102" s="54"/>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3"/>
      <c r="GC102" s="13"/>
      <c r="GD102" s="13"/>
      <c r="GE102" s="13"/>
      <c r="GF102" s="13"/>
      <c r="GG102" s="13"/>
      <c r="GH102" s="13"/>
      <c r="GI102" s="13"/>
      <c r="GJ102" s="13"/>
      <c r="GK102" s="13"/>
      <c r="GL102" s="13"/>
      <c r="GM102" s="13"/>
      <c r="GN102" s="13"/>
      <c r="GO102" s="13"/>
      <c r="GP102" s="13"/>
      <c r="GQ102" s="13"/>
      <c r="GR102" s="13"/>
      <c r="GS102" s="13"/>
      <c r="GT102" s="13"/>
      <c r="GU102" s="13"/>
      <c r="GV102" s="13"/>
      <c r="GW102" s="13"/>
      <c r="GX102" s="13"/>
      <c r="GY102" s="13"/>
      <c r="GZ102" s="13"/>
      <c r="HA102" s="13"/>
      <c r="HB102" s="13"/>
      <c r="HC102" s="13"/>
      <c r="HD102" s="13"/>
      <c r="HE102" s="13"/>
      <c r="HF102" s="13"/>
      <c r="HG102" s="13"/>
      <c r="HH102" s="13"/>
      <c r="HI102" s="13"/>
      <c r="HJ102" s="13"/>
      <c r="HK102" s="13"/>
      <c r="HL102" s="13"/>
      <c r="HM102" s="13"/>
      <c r="HN102" s="13"/>
      <c r="HO102" s="13"/>
      <c r="HP102" s="13"/>
      <c r="HQ102" s="13"/>
      <c r="HR102" s="13"/>
    </row>
    <row r="103" spans="1:226" ht="14.1" customHeight="1">
      <c r="A103" s="13"/>
      <c r="B103" s="13"/>
      <c r="C103" s="13"/>
      <c r="D103" s="13"/>
      <c r="E103" s="54"/>
      <c r="F103" s="54"/>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c r="HR103" s="13"/>
    </row>
    <row r="104" spans="1:226" ht="14.1" customHeight="1">
      <c r="A104" s="13"/>
      <c r="B104" s="13"/>
      <c r="C104" s="13"/>
      <c r="D104" s="13"/>
      <c r="E104" s="54"/>
      <c r="F104" s="54"/>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3"/>
      <c r="GC104" s="13"/>
      <c r="GD104" s="13"/>
      <c r="GE104" s="13"/>
      <c r="GF104" s="13"/>
      <c r="GG104" s="13"/>
      <c r="GH104" s="13"/>
      <c r="GI104" s="13"/>
      <c r="GJ104" s="13"/>
      <c r="GK104" s="13"/>
      <c r="GL104" s="13"/>
      <c r="GM104" s="13"/>
      <c r="GN104" s="13"/>
      <c r="GO104" s="13"/>
      <c r="GP104" s="13"/>
      <c r="GQ104" s="13"/>
      <c r="GR104" s="13"/>
      <c r="GS104" s="13"/>
      <c r="GT104" s="13"/>
      <c r="GU104" s="13"/>
      <c r="GV104" s="13"/>
      <c r="GW104" s="13"/>
      <c r="GX104" s="13"/>
      <c r="GY104" s="13"/>
      <c r="GZ104" s="13"/>
      <c r="HA104" s="13"/>
      <c r="HB104" s="13"/>
      <c r="HC104" s="13"/>
      <c r="HD104" s="13"/>
      <c r="HE104" s="13"/>
      <c r="HF104" s="13"/>
      <c r="HG104" s="13"/>
      <c r="HH104" s="13"/>
      <c r="HI104" s="13"/>
      <c r="HJ104" s="13"/>
      <c r="HK104" s="13"/>
      <c r="HL104" s="13"/>
      <c r="HM104" s="13"/>
      <c r="HN104" s="13"/>
      <c r="HO104" s="13"/>
      <c r="HP104" s="13"/>
      <c r="HQ104" s="13"/>
      <c r="HR104" s="13"/>
    </row>
    <row r="105" spans="1:226" ht="14.1" customHeight="1">
      <c r="A105" s="13"/>
      <c r="B105" s="13"/>
      <c r="C105" s="13"/>
      <c r="D105" s="13"/>
      <c r="E105" s="54"/>
      <c r="F105" s="54"/>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13"/>
      <c r="GC105" s="13"/>
      <c r="GD105" s="13"/>
      <c r="GE105" s="13"/>
      <c r="GF105" s="13"/>
      <c r="GG105" s="13"/>
      <c r="GH105" s="13"/>
      <c r="GI105" s="13"/>
      <c r="GJ105" s="13"/>
      <c r="GK105" s="13"/>
      <c r="GL105" s="13"/>
      <c r="GM105" s="13"/>
      <c r="GN105" s="13"/>
      <c r="GO105" s="13"/>
      <c r="GP105" s="13"/>
      <c r="GQ105" s="13"/>
      <c r="GR105" s="13"/>
      <c r="GS105" s="13"/>
      <c r="GT105" s="13"/>
      <c r="GU105" s="13"/>
      <c r="GV105" s="13"/>
      <c r="GW105" s="13"/>
      <c r="GX105" s="13"/>
      <c r="GY105" s="13"/>
      <c r="GZ105" s="13"/>
      <c r="HA105" s="13"/>
      <c r="HB105" s="13"/>
      <c r="HC105" s="13"/>
      <c r="HD105" s="13"/>
      <c r="HE105" s="13"/>
      <c r="HF105" s="13"/>
      <c r="HG105" s="13"/>
      <c r="HH105" s="13"/>
      <c r="HI105" s="13"/>
      <c r="HJ105" s="13"/>
      <c r="HK105" s="13"/>
      <c r="HL105" s="13"/>
      <c r="HM105" s="13"/>
      <c r="HN105" s="13"/>
      <c r="HO105" s="13"/>
      <c r="HP105" s="13"/>
      <c r="HQ105" s="13"/>
      <c r="HR105" s="13"/>
    </row>
    <row r="106" spans="1:226" ht="14.1" customHeight="1">
      <c r="A106" s="13"/>
      <c r="B106" s="13"/>
      <c r="C106" s="13"/>
      <c r="D106" s="13"/>
      <c r="E106" s="54"/>
      <c r="F106" s="54"/>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c r="GE106" s="13"/>
      <c r="GF106" s="13"/>
      <c r="GG106" s="13"/>
      <c r="GH106" s="13"/>
      <c r="GI106" s="13"/>
      <c r="GJ106" s="13"/>
      <c r="GK106" s="13"/>
      <c r="GL106" s="13"/>
      <c r="GM106" s="13"/>
      <c r="GN106" s="13"/>
      <c r="GO106" s="13"/>
      <c r="GP106" s="13"/>
      <c r="GQ106" s="13"/>
      <c r="GR106" s="13"/>
      <c r="GS106" s="13"/>
      <c r="GT106" s="13"/>
      <c r="GU106" s="13"/>
      <c r="GV106" s="13"/>
      <c r="GW106" s="13"/>
      <c r="GX106" s="13"/>
      <c r="GY106" s="13"/>
      <c r="GZ106" s="13"/>
      <c r="HA106" s="13"/>
      <c r="HB106" s="13"/>
      <c r="HC106" s="13"/>
      <c r="HD106" s="13"/>
      <c r="HE106" s="13"/>
      <c r="HF106" s="13"/>
      <c r="HG106" s="13"/>
      <c r="HH106" s="13"/>
      <c r="HI106" s="13"/>
      <c r="HJ106" s="13"/>
      <c r="HK106" s="13"/>
      <c r="HL106" s="13"/>
      <c r="HM106" s="13"/>
      <c r="HN106" s="13"/>
      <c r="HO106" s="13"/>
      <c r="HP106" s="13"/>
      <c r="HQ106" s="13"/>
      <c r="HR106" s="13"/>
    </row>
    <row r="107" spans="1:226" ht="14.1" customHeight="1">
      <c r="A107" s="13"/>
      <c r="B107" s="13"/>
      <c r="C107" s="13"/>
      <c r="D107" s="13"/>
      <c r="E107" s="54"/>
      <c r="F107" s="54"/>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c r="GE107" s="13"/>
      <c r="GF107" s="13"/>
      <c r="GG107" s="13"/>
      <c r="GH107" s="13"/>
      <c r="GI107" s="13"/>
      <c r="GJ107" s="13"/>
      <c r="GK107" s="13"/>
      <c r="GL107" s="13"/>
      <c r="GM107" s="13"/>
      <c r="GN107" s="13"/>
      <c r="GO107" s="13"/>
      <c r="GP107" s="13"/>
      <c r="GQ107" s="13"/>
      <c r="GR107" s="13"/>
      <c r="GS107" s="13"/>
      <c r="GT107" s="13"/>
      <c r="GU107" s="13"/>
      <c r="GV107" s="13"/>
      <c r="GW107" s="13"/>
      <c r="GX107" s="13"/>
      <c r="GY107" s="13"/>
      <c r="GZ107" s="13"/>
      <c r="HA107" s="13"/>
      <c r="HB107" s="13"/>
      <c r="HC107" s="13"/>
      <c r="HD107" s="13"/>
      <c r="HE107" s="13"/>
      <c r="HF107" s="13"/>
      <c r="HG107" s="13"/>
      <c r="HH107" s="13"/>
      <c r="HI107" s="13"/>
      <c r="HJ107" s="13"/>
      <c r="HK107" s="13"/>
      <c r="HL107" s="13"/>
      <c r="HM107" s="13"/>
      <c r="HN107" s="13"/>
      <c r="HO107" s="13"/>
      <c r="HP107" s="13"/>
      <c r="HQ107" s="13"/>
      <c r="HR107" s="13"/>
    </row>
    <row r="108" spans="1:226" ht="14.1" customHeight="1">
      <c r="A108" s="13"/>
      <c r="B108" s="13"/>
      <c r="C108" s="13"/>
      <c r="D108" s="13"/>
      <c r="E108" s="54"/>
      <c r="F108" s="54"/>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13"/>
      <c r="FQ108" s="13"/>
      <c r="FR108" s="13"/>
      <c r="FS108" s="13"/>
      <c r="FT108" s="13"/>
      <c r="FU108" s="13"/>
      <c r="FV108" s="13"/>
      <c r="FW108" s="13"/>
      <c r="FX108" s="13"/>
      <c r="FY108" s="13"/>
      <c r="FZ108" s="13"/>
      <c r="GA108" s="13"/>
      <c r="GB108" s="13"/>
      <c r="GC108" s="13"/>
      <c r="GD108" s="13"/>
      <c r="GE108" s="13"/>
      <c r="GF108" s="13"/>
      <c r="GG108" s="13"/>
      <c r="GH108" s="13"/>
      <c r="GI108" s="13"/>
      <c r="GJ108" s="13"/>
      <c r="GK108" s="13"/>
      <c r="GL108" s="13"/>
      <c r="GM108" s="13"/>
      <c r="GN108" s="13"/>
      <c r="GO108" s="13"/>
      <c r="GP108" s="13"/>
      <c r="GQ108" s="13"/>
      <c r="GR108" s="13"/>
      <c r="GS108" s="13"/>
      <c r="GT108" s="13"/>
      <c r="GU108" s="13"/>
      <c r="GV108" s="13"/>
      <c r="GW108" s="13"/>
      <c r="GX108" s="13"/>
      <c r="GY108" s="13"/>
      <c r="GZ108" s="13"/>
      <c r="HA108" s="13"/>
      <c r="HB108" s="13"/>
      <c r="HC108" s="13"/>
      <c r="HD108" s="13"/>
      <c r="HE108" s="13"/>
      <c r="HF108" s="13"/>
      <c r="HG108" s="13"/>
      <c r="HH108" s="13"/>
      <c r="HI108" s="13"/>
      <c r="HJ108" s="13"/>
      <c r="HK108" s="13"/>
      <c r="HL108" s="13"/>
      <c r="HM108" s="13"/>
      <c r="HN108" s="13"/>
      <c r="HO108" s="13"/>
      <c r="HP108" s="13"/>
      <c r="HQ108" s="13"/>
      <c r="HR108" s="13"/>
    </row>
    <row r="109" spans="1:226" ht="14.1" customHeight="1">
      <c r="A109" s="13"/>
      <c r="B109" s="13"/>
      <c r="C109" s="13"/>
      <c r="D109" s="13"/>
      <c r="E109" s="54"/>
      <c r="F109" s="54"/>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13"/>
      <c r="FQ109" s="13"/>
      <c r="FR109" s="13"/>
      <c r="FS109" s="13"/>
      <c r="FT109" s="13"/>
      <c r="FU109" s="13"/>
      <c r="FV109" s="13"/>
      <c r="FW109" s="13"/>
      <c r="FX109" s="13"/>
      <c r="FY109" s="13"/>
      <c r="FZ109" s="13"/>
      <c r="GA109" s="13"/>
      <c r="GB109" s="13"/>
      <c r="GC109" s="13"/>
      <c r="GD109" s="13"/>
      <c r="GE109" s="13"/>
      <c r="GF109" s="13"/>
      <c r="GG109" s="13"/>
      <c r="GH109" s="13"/>
      <c r="GI109" s="13"/>
      <c r="GJ109" s="13"/>
      <c r="GK109" s="13"/>
      <c r="GL109" s="13"/>
      <c r="GM109" s="13"/>
      <c r="GN109" s="13"/>
      <c r="GO109" s="13"/>
      <c r="GP109" s="13"/>
      <c r="GQ109" s="13"/>
      <c r="GR109" s="13"/>
      <c r="GS109" s="13"/>
      <c r="GT109" s="13"/>
      <c r="GU109" s="13"/>
      <c r="GV109" s="13"/>
      <c r="GW109" s="13"/>
      <c r="GX109" s="13"/>
      <c r="GY109" s="13"/>
      <c r="GZ109" s="13"/>
      <c r="HA109" s="13"/>
      <c r="HB109" s="13"/>
      <c r="HC109" s="13"/>
      <c r="HD109" s="13"/>
      <c r="HE109" s="13"/>
      <c r="HF109" s="13"/>
      <c r="HG109" s="13"/>
      <c r="HH109" s="13"/>
      <c r="HI109" s="13"/>
      <c r="HJ109" s="13"/>
      <c r="HK109" s="13"/>
      <c r="HL109" s="13"/>
      <c r="HM109" s="13"/>
      <c r="HN109" s="13"/>
      <c r="HO109" s="13"/>
      <c r="HP109" s="13"/>
      <c r="HQ109" s="13"/>
      <c r="HR109" s="13"/>
    </row>
    <row r="110" spans="1:226" ht="14.1" customHeight="1">
      <c r="A110" s="13"/>
      <c r="B110" s="13"/>
      <c r="C110" s="13"/>
      <c r="D110" s="13"/>
      <c r="E110" s="54"/>
      <c r="F110" s="54"/>
      <c r="G110" s="13"/>
      <c r="H110" s="13"/>
      <c r="I110" s="13"/>
      <c r="J110" s="13"/>
      <c r="K110" s="13"/>
      <c r="L110" s="13"/>
      <c r="M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13"/>
      <c r="FQ110" s="13"/>
      <c r="FR110" s="13"/>
      <c r="FS110" s="13"/>
      <c r="FT110" s="13"/>
      <c r="FU110" s="13"/>
      <c r="FV110" s="13"/>
      <c r="FW110" s="13"/>
      <c r="FX110" s="13"/>
      <c r="FY110" s="13"/>
      <c r="FZ110" s="13"/>
      <c r="GA110" s="13"/>
      <c r="GB110" s="13"/>
      <c r="GC110" s="13"/>
      <c r="GD110" s="13"/>
      <c r="GE110" s="13"/>
      <c r="GF110" s="13"/>
      <c r="GG110" s="13"/>
      <c r="GH110" s="13"/>
      <c r="GI110" s="13"/>
      <c r="GJ110" s="13"/>
      <c r="GK110" s="13"/>
      <c r="GL110" s="13"/>
      <c r="GM110" s="13"/>
      <c r="GN110" s="13"/>
      <c r="GO110" s="13"/>
      <c r="GP110" s="13"/>
      <c r="GQ110" s="13"/>
      <c r="GR110" s="13"/>
      <c r="GS110" s="13"/>
      <c r="GT110" s="13"/>
      <c r="GU110" s="13"/>
      <c r="GV110" s="13"/>
      <c r="GW110" s="13"/>
      <c r="GX110" s="13"/>
      <c r="GY110" s="13"/>
      <c r="GZ110" s="13"/>
      <c r="HA110" s="13"/>
      <c r="HB110" s="13"/>
      <c r="HC110" s="13"/>
      <c r="HD110" s="13"/>
      <c r="HE110" s="13"/>
      <c r="HF110" s="13"/>
      <c r="HG110" s="13"/>
      <c r="HH110" s="13"/>
      <c r="HI110" s="13"/>
      <c r="HJ110" s="13"/>
      <c r="HK110" s="13"/>
      <c r="HL110" s="13"/>
      <c r="HM110" s="13"/>
      <c r="HN110" s="13"/>
      <c r="HO110" s="13"/>
      <c r="HP110" s="13"/>
      <c r="HQ110" s="13"/>
      <c r="HR110" s="13"/>
    </row>
    <row r="111" spans="1:226" ht="14.1" customHeight="1">
      <c r="A111" s="13"/>
      <c r="B111" s="13"/>
      <c r="C111" s="13"/>
      <c r="D111" s="13"/>
      <c r="E111" s="54"/>
      <c r="F111" s="54"/>
      <c r="G111" s="13"/>
      <c r="H111" s="13"/>
      <c r="I111" s="13"/>
      <c r="J111" s="13"/>
      <c r="K111" s="13"/>
      <c r="L111" s="13"/>
      <c r="M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13"/>
      <c r="FQ111" s="13"/>
      <c r="FR111" s="13"/>
      <c r="FS111" s="13"/>
      <c r="FT111" s="13"/>
      <c r="FU111" s="13"/>
      <c r="FV111" s="13"/>
      <c r="FW111" s="13"/>
      <c r="FX111" s="13"/>
      <c r="FY111" s="13"/>
      <c r="FZ111" s="13"/>
      <c r="GA111" s="13"/>
      <c r="GB111" s="13"/>
      <c r="GC111" s="13"/>
      <c r="GD111" s="13"/>
      <c r="GE111" s="13"/>
      <c r="GF111" s="13"/>
      <c r="GG111" s="13"/>
      <c r="GH111" s="13"/>
      <c r="GI111" s="13"/>
      <c r="GJ111" s="13"/>
      <c r="GK111" s="13"/>
      <c r="GL111" s="13"/>
      <c r="GM111" s="13"/>
      <c r="GN111" s="13"/>
      <c r="GO111" s="13"/>
      <c r="GP111" s="13"/>
      <c r="GQ111" s="13"/>
      <c r="GR111" s="13"/>
      <c r="GS111" s="13"/>
      <c r="GT111" s="13"/>
      <c r="GU111" s="13"/>
      <c r="GV111" s="13"/>
      <c r="GW111" s="13"/>
      <c r="GX111" s="13"/>
      <c r="GY111" s="13"/>
      <c r="GZ111" s="13"/>
      <c r="HA111" s="13"/>
      <c r="HB111" s="13"/>
      <c r="HC111" s="13"/>
      <c r="HD111" s="13"/>
      <c r="HE111" s="13"/>
      <c r="HF111" s="13"/>
      <c r="HG111" s="13"/>
      <c r="HH111" s="13"/>
      <c r="HI111" s="13"/>
      <c r="HJ111" s="13"/>
      <c r="HK111" s="13"/>
      <c r="HL111" s="13"/>
      <c r="HM111" s="13"/>
      <c r="HN111" s="13"/>
      <c r="HO111" s="13"/>
      <c r="HP111" s="13"/>
      <c r="HQ111" s="13"/>
      <c r="HR111" s="13"/>
    </row>
  </sheetData>
  <phoneticPr fontId="13" type="noConversion"/>
  <pageMargins left="0.75" right="0.75" top="1" bottom="1" header="0.5" footer="0.5"/>
  <pageSetup scale="6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sheetPr>
    <pageSetUpPr fitToPage="1"/>
  </sheetPr>
  <dimension ref="A1:H29"/>
  <sheetViews>
    <sheetView zoomScaleNormal="100" workbookViewId="0">
      <selection activeCell="A3" sqref="A3"/>
    </sheetView>
  </sheetViews>
  <sheetFormatPr defaultColWidth="8.85546875" defaultRowHeight="12.75"/>
  <cols>
    <col min="1" max="1" width="20.7109375" style="1005" customWidth="1"/>
    <col min="2" max="2" width="20.28515625" style="1005" customWidth="1"/>
    <col min="3" max="3" width="15.7109375" style="1005" customWidth="1"/>
    <col min="4" max="4" width="18.7109375" style="1005" customWidth="1"/>
    <col min="5" max="5" width="17" style="1005" customWidth="1"/>
    <col min="6" max="6" width="18.7109375" style="1005" customWidth="1"/>
    <col min="7" max="16384" width="8.85546875" style="1005"/>
  </cols>
  <sheetData>
    <row r="1" spans="1:7" ht="18">
      <c r="A1" s="1004" t="s">
        <v>1095</v>
      </c>
      <c r="B1" s="1004"/>
      <c r="C1" s="1004"/>
      <c r="D1" s="1004"/>
      <c r="E1" s="1004"/>
      <c r="F1" s="1004"/>
    </row>
    <row r="2" spans="1:7" ht="15.75">
      <c r="A2" s="1006" t="s">
        <v>1096</v>
      </c>
      <c r="B2" s="1006"/>
      <c r="C2" s="1006"/>
      <c r="D2" s="1006"/>
      <c r="E2" s="1006"/>
      <c r="F2" s="1006"/>
    </row>
    <row r="3" spans="1:7" ht="15.75">
      <c r="A3" s="1006" t="s">
        <v>1104</v>
      </c>
      <c r="B3" s="1006"/>
      <c r="C3" s="1006"/>
      <c r="D3" s="1006"/>
      <c r="E3" s="1006"/>
      <c r="F3" s="1006"/>
    </row>
    <row r="4" spans="1:7" ht="18" customHeight="1" thickBot="1">
      <c r="A4" s="1007"/>
      <c r="B4" s="1007"/>
      <c r="C4" s="1007"/>
      <c r="D4" s="1008"/>
      <c r="E4" s="1007"/>
      <c r="F4" s="1007"/>
    </row>
    <row r="5" spans="1:7" s="1009" customFormat="1" ht="45" customHeight="1">
      <c r="A5" s="1092" t="s">
        <v>1112</v>
      </c>
      <c r="B5" s="1092"/>
      <c r="C5" s="1092"/>
      <c r="D5" s="1010"/>
      <c r="E5" s="1011"/>
      <c r="F5" s="1010"/>
      <c r="G5" s="1010"/>
    </row>
    <row r="6" spans="1:7" ht="18" customHeight="1">
      <c r="A6" s="1018" t="s">
        <v>44</v>
      </c>
      <c r="B6" s="1018"/>
      <c r="C6" s="1018" t="s">
        <v>1111</v>
      </c>
      <c r="D6" s="1007"/>
      <c r="E6" s="1008"/>
      <c r="F6" s="1007"/>
      <c r="G6" s="1007"/>
    </row>
    <row r="7" spans="1:7" ht="18" customHeight="1">
      <c r="A7" s="1019" t="s">
        <v>1116</v>
      </c>
      <c r="B7" s="1019"/>
      <c r="C7" s="1020">
        <v>143332331.22493362</v>
      </c>
      <c r="D7" s="1007"/>
      <c r="E7" s="1008"/>
      <c r="F7" s="1007"/>
      <c r="G7" s="1007"/>
    </row>
    <row r="8" spans="1:7" ht="18" customHeight="1">
      <c r="A8" s="1019">
        <v>2008</v>
      </c>
      <c r="B8" s="1019"/>
      <c r="C8" s="1021">
        <v>213829116.3864015</v>
      </c>
      <c r="D8" s="1007"/>
      <c r="E8" s="1008"/>
      <c r="F8" s="1007"/>
      <c r="G8" s="1007"/>
    </row>
    <row r="9" spans="1:7" ht="18" customHeight="1">
      <c r="A9" s="1019">
        <v>2009</v>
      </c>
      <c r="B9" s="1019"/>
      <c r="C9" s="1021">
        <v>175364334.91890469</v>
      </c>
      <c r="D9" s="1007"/>
      <c r="E9" s="1008"/>
      <c r="F9" s="1007"/>
      <c r="G9" s="1007"/>
    </row>
    <row r="10" spans="1:7" ht="18" customHeight="1">
      <c r="A10" s="1019">
        <v>2010</v>
      </c>
      <c r="B10" s="1019"/>
      <c r="C10" s="1021">
        <v>143554116.64843339</v>
      </c>
      <c r="D10" s="1007"/>
      <c r="E10" s="1008"/>
      <c r="F10" s="1007"/>
      <c r="G10" s="1007"/>
    </row>
    <row r="11" spans="1:7" ht="18" customHeight="1">
      <c r="A11" s="1019">
        <v>2011</v>
      </c>
      <c r="B11" s="1019"/>
      <c r="C11" s="1021">
        <v>150273915</v>
      </c>
      <c r="D11" s="1007"/>
      <c r="E11" s="1008"/>
      <c r="F11" s="1007"/>
      <c r="G11" s="1007"/>
    </row>
    <row r="12" spans="1:7" ht="18" customHeight="1">
      <c r="A12" s="1019">
        <v>2012</v>
      </c>
      <c r="B12" s="1019"/>
      <c r="C12" s="1021">
        <v>156945693.35438961</v>
      </c>
      <c r="D12" s="1007"/>
      <c r="E12" s="1008"/>
      <c r="F12" s="1007"/>
      <c r="G12" s="1007"/>
    </row>
    <row r="13" spans="1:7" ht="14.1" customHeight="1">
      <c r="A13" s="1012"/>
      <c r="B13" s="1012"/>
      <c r="C13" s="1016"/>
      <c r="D13" s="1007"/>
      <c r="E13" s="1008"/>
      <c r="F13" s="1007"/>
      <c r="G13" s="1007"/>
    </row>
    <row r="14" spans="1:7" ht="18" customHeight="1">
      <c r="A14" s="1007" t="s">
        <v>2</v>
      </c>
      <c r="B14" s="1007"/>
      <c r="C14" s="1007"/>
      <c r="D14" s="1008"/>
      <c r="E14" s="1007"/>
      <c r="F14" s="1007"/>
    </row>
    <row r="15" spans="1:7" ht="12.75" customHeight="1">
      <c r="A15" s="1093" t="s">
        <v>1118</v>
      </c>
      <c r="B15" s="1093"/>
      <c r="C15" s="1093"/>
      <c r="D15" s="1022"/>
      <c r="E15" s="1017"/>
      <c r="F15" s="1017"/>
    </row>
    <row r="16" spans="1:7">
      <c r="A16" s="1093"/>
      <c r="B16" s="1093"/>
      <c r="C16" s="1093"/>
      <c r="D16" s="1022"/>
      <c r="E16" s="1017"/>
      <c r="F16" s="1017"/>
    </row>
    <row r="17" spans="1:8">
      <c r="A17" s="1093"/>
      <c r="B17" s="1093"/>
      <c r="C17" s="1093"/>
      <c r="D17" s="1022"/>
      <c r="E17" s="1017"/>
      <c r="F17" s="1017"/>
    </row>
    <row r="18" spans="1:8">
      <c r="A18" s="1093"/>
      <c r="B18" s="1093"/>
      <c r="C18" s="1093"/>
      <c r="D18" s="1022"/>
      <c r="E18" s="1017"/>
      <c r="F18" s="1017"/>
    </row>
    <row r="19" spans="1:8" s="1013" customFormat="1">
      <c r="A19" s="1093"/>
      <c r="B19" s="1093"/>
      <c r="C19" s="1093"/>
      <c r="D19" s="1022"/>
      <c r="E19" s="1017"/>
      <c r="F19" s="1017"/>
    </row>
    <row r="20" spans="1:8" ht="15">
      <c r="A20" s="1093"/>
      <c r="B20" s="1093"/>
      <c r="C20" s="1093"/>
      <c r="D20" s="1022"/>
      <c r="E20" s="1014"/>
      <c r="F20" s="1014"/>
    </row>
    <row r="21" spans="1:8" ht="15">
      <c r="A21" s="1093"/>
      <c r="B21" s="1093"/>
      <c r="C21" s="1093"/>
      <c r="D21" s="1022"/>
      <c r="E21" s="1015"/>
      <c r="F21" s="1015"/>
      <c r="G21" s="1009"/>
      <c r="H21" s="1009"/>
    </row>
    <row r="22" spans="1:8" s="1009" customFormat="1" ht="15">
      <c r="A22" s="1093"/>
      <c r="B22" s="1093"/>
      <c r="C22" s="1093"/>
      <c r="D22" s="1022"/>
      <c r="E22" s="1015"/>
      <c r="F22" s="1015"/>
    </row>
    <row r="23" spans="1:8">
      <c r="A23" s="1093"/>
      <c r="B23" s="1093"/>
      <c r="C23" s="1093"/>
      <c r="D23" s="1022"/>
      <c r="E23" s="1009"/>
      <c r="F23" s="1009"/>
      <c r="G23" s="1009"/>
      <c r="H23" s="1009"/>
    </row>
    <row r="24" spans="1:8">
      <c r="A24" s="1093"/>
      <c r="B24" s="1093"/>
      <c r="C24" s="1093"/>
      <c r="D24" s="1017"/>
      <c r="E24" s="1009"/>
      <c r="F24" s="1009"/>
      <c r="G24" s="1009"/>
      <c r="H24" s="1009"/>
    </row>
    <row r="25" spans="1:8">
      <c r="A25" s="1093"/>
      <c r="B25" s="1093"/>
      <c r="C25" s="1093"/>
    </row>
    <row r="26" spans="1:8">
      <c r="A26" s="1093"/>
      <c r="B26" s="1093"/>
      <c r="C26" s="1093"/>
    </row>
    <row r="27" spans="1:8">
      <c r="A27" s="1093"/>
      <c r="B27" s="1093"/>
      <c r="C27" s="1093"/>
    </row>
    <row r="28" spans="1:8">
      <c r="A28" s="1093"/>
      <c r="B28" s="1093"/>
      <c r="C28" s="1093"/>
    </row>
    <row r="29" spans="1:8" ht="6" customHeight="1">
      <c r="A29" s="1093"/>
      <c r="B29" s="1093"/>
      <c r="C29" s="1093"/>
    </row>
  </sheetData>
  <mergeCells count="2">
    <mergeCell ref="A5:C5"/>
    <mergeCell ref="A15:C29"/>
  </mergeCells>
  <pageMargins left="1" right="1" top="0.75" bottom="0.75" header="0.5" footer="0.5"/>
  <pageSetup orientation="landscape" r:id="rId1"/>
  <headerFooter alignWithMargins="0"/>
</worksheet>
</file>

<file path=xl/worksheets/sheet31.xml><?xml version="1.0" encoding="utf-8"?>
<worksheet xmlns="http://schemas.openxmlformats.org/spreadsheetml/2006/main" xmlns:r="http://schemas.openxmlformats.org/officeDocument/2006/relationships">
  <sheetPr codeName="Sheet23"/>
  <dimension ref="A1:I19"/>
  <sheetViews>
    <sheetView zoomScaleNormal="100" workbookViewId="0">
      <selection activeCell="B16" sqref="B16"/>
    </sheetView>
  </sheetViews>
  <sheetFormatPr defaultRowHeight="12.75"/>
  <cols>
    <col min="5" max="5" width="12.42578125" customWidth="1"/>
  </cols>
  <sheetData>
    <row r="1" spans="1:9" ht="15.75">
      <c r="A1" s="186" t="s">
        <v>381</v>
      </c>
      <c r="B1" s="187"/>
      <c r="C1" s="187"/>
      <c r="D1" s="187"/>
      <c r="E1" s="187"/>
      <c r="F1" s="187"/>
      <c r="G1" s="187"/>
      <c r="H1" s="187"/>
      <c r="I1" s="187"/>
    </row>
    <row r="2" spans="1:9" ht="14.25">
      <c r="A2" s="188"/>
      <c r="B2" s="188"/>
      <c r="C2" s="188"/>
      <c r="D2" s="188"/>
      <c r="E2" s="188"/>
      <c r="F2" s="188"/>
      <c r="G2" s="188"/>
      <c r="H2" s="188"/>
      <c r="I2" s="188"/>
    </row>
    <row r="3" spans="1:9" ht="15">
      <c r="A3" s="189" t="s">
        <v>382</v>
      </c>
      <c r="B3" s="188"/>
      <c r="C3" s="188"/>
      <c r="D3" s="188"/>
      <c r="E3" s="188"/>
      <c r="F3" s="188"/>
      <c r="G3" s="188"/>
      <c r="H3" s="188"/>
      <c r="I3" s="188"/>
    </row>
    <row r="4" spans="1:9" ht="15">
      <c r="A4" s="189" t="s">
        <v>399</v>
      </c>
      <c r="B4" s="188"/>
      <c r="C4" s="188"/>
      <c r="D4" s="188"/>
      <c r="E4" s="188"/>
      <c r="F4" s="188"/>
      <c r="G4" s="188"/>
      <c r="H4" s="188"/>
      <c r="I4" s="188"/>
    </row>
    <row r="5" spans="1:9" ht="14.25">
      <c r="A5" s="188" t="s">
        <v>383</v>
      </c>
      <c r="B5" s="188"/>
      <c r="C5" s="188"/>
      <c r="D5" s="188"/>
      <c r="E5" s="188"/>
      <c r="F5" s="188"/>
      <c r="G5" s="188"/>
      <c r="H5" s="188"/>
      <c r="I5" s="188"/>
    </row>
    <row r="6" spans="1:9" ht="14.25">
      <c r="A6" s="188" t="s">
        <v>384</v>
      </c>
      <c r="B6" s="188"/>
      <c r="C6" s="188"/>
      <c r="D6" s="188"/>
      <c r="E6" s="188"/>
      <c r="F6" s="188"/>
      <c r="G6" s="188"/>
      <c r="H6" s="188"/>
      <c r="I6" s="188"/>
    </row>
    <row r="7" spans="1:9" ht="14.25">
      <c r="A7" s="188" t="s">
        <v>385</v>
      </c>
      <c r="B7" s="188"/>
      <c r="C7" s="188"/>
      <c r="D7" s="188"/>
      <c r="E7" s="188" t="s">
        <v>386</v>
      </c>
      <c r="F7" s="188"/>
      <c r="G7" s="188"/>
      <c r="H7" s="188"/>
      <c r="I7" s="188"/>
    </row>
    <row r="8" spans="1:9" ht="14.25">
      <c r="A8" s="188"/>
      <c r="B8" s="188"/>
      <c r="C8" s="188"/>
      <c r="D8" s="188"/>
      <c r="E8" s="188" t="s">
        <v>387</v>
      </c>
      <c r="F8" s="188"/>
      <c r="G8" s="188"/>
      <c r="H8" s="188"/>
      <c r="I8" s="188"/>
    </row>
    <row r="9" spans="1:9" ht="15">
      <c r="A9" s="189" t="s">
        <v>388</v>
      </c>
      <c r="B9" s="188"/>
      <c r="C9" s="188"/>
      <c r="D9" s="188"/>
      <c r="E9" s="188" t="s">
        <v>389</v>
      </c>
      <c r="F9" s="188"/>
      <c r="G9" s="188"/>
      <c r="H9" s="188"/>
      <c r="I9" s="188"/>
    </row>
    <row r="10" spans="1:9" ht="14.25">
      <c r="A10" s="188" t="s">
        <v>1043</v>
      </c>
      <c r="B10" s="188"/>
      <c r="C10" s="188"/>
      <c r="D10" s="188"/>
      <c r="E10" s="188" t="s">
        <v>390</v>
      </c>
      <c r="F10" s="188"/>
      <c r="G10" s="188"/>
      <c r="H10" s="188"/>
      <c r="I10" s="188"/>
    </row>
    <row r="11" spans="1:9" ht="14.25">
      <c r="A11" s="188" t="s">
        <v>392</v>
      </c>
      <c r="B11" s="188"/>
      <c r="C11" s="188"/>
      <c r="D11" s="188"/>
      <c r="E11" s="188" t="s">
        <v>391</v>
      </c>
      <c r="F11" s="188"/>
      <c r="G11" s="188"/>
      <c r="H11" s="188"/>
      <c r="I11" s="188"/>
    </row>
    <row r="12" spans="1:9" ht="14.25">
      <c r="A12" s="188"/>
      <c r="B12" s="188"/>
      <c r="C12" s="188"/>
      <c r="D12" s="188"/>
      <c r="E12" s="188"/>
      <c r="F12" s="188"/>
      <c r="G12" s="188"/>
      <c r="H12" s="188"/>
      <c r="I12" s="188"/>
    </row>
    <row r="13" spans="1:9" ht="14.25">
      <c r="A13" s="188"/>
      <c r="B13" s="188"/>
      <c r="C13" s="188"/>
      <c r="D13" s="188"/>
      <c r="E13" s="188" t="s">
        <v>393</v>
      </c>
      <c r="F13" s="188"/>
      <c r="G13" s="188"/>
      <c r="H13" s="188"/>
      <c r="I13" s="188"/>
    </row>
    <row r="14" spans="1:9" ht="15">
      <c r="A14" s="189" t="s">
        <v>394</v>
      </c>
      <c r="B14" s="188"/>
      <c r="C14" s="188"/>
      <c r="D14" s="188"/>
      <c r="E14" s="188" t="s">
        <v>382</v>
      </c>
      <c r="F14" s="188"/>
      <c r="G14" s="188"/>
      <c r="H14" s="188"/>
      <c r="I14" s="188"/>
    </row>
    <row r="15" spans="1:9" ht="14.25">
      <c r="A15" s="188" t="s">
        <v>382</v>
      </c>
      <c r="B15" s="188"/>
      <c r="C15" s="188"/>
      <c r="D15" s="188"/>
      <c r="E15" s="188" t="s">
        <v>395</v>
      </c>
      <c r="F15" s="188"/>
      <c r="G15" s="188"/>
      <c r="H15" s="188"/>
      <c r="I15" s="188"/>
    </row>
    <row r="16" spans="1:9" ht="14.25">
      <c r="A16" s="188" t="s">
        <v>396</v>
      </c>
      <c r="B16" s="188"/>
      <c r="C16" s="188"/>
      <c r="D16" s="188"/>
      <c r="E16" s="188"/>
      <c r="F16" s="188"/>
      <c r="G16" s="188"/>
      <c r="H16" s="188"/>
      <c r="I16" s="188"/>
    </row>
    <row r="17" spans="1:9" ht="14.25">
      <c r="A17" s="190" t="s">
        <v>397</v>
      </c>
      <c r="B17" s="190"/>
      <c r="C17" s="190"/>
      <c r="D17" s="190"/>
      <c r="E17" s="191" t="s">
        <v>398</v>
      </c>
      <c r="F17" s="191"/>
      <c r="G17" s="191"/>
      <c r="H17" s="192"/>
      <c r="I17" s="192"/>
    </row>
    <row r="18" spans="1:9" ht="15" thickBot="1">
      <c r="A18" s="193"/>
      <c r="B18" s="193"/>
      <c r="C18" s="193"/>
      <c r="D18" s="193"/>
      <c r="E18" s="193"/>
      <c r="F18" s="193"/>
      <c r="G18" s="193"/>
      <c r="H18" s="193"/>
      <c r="I18" s="193"/>
    </row>
    <row r="19" spans="1:9" ht="15" thickTop="1">
      <c r="A19" s="190"/>
      <c r="B19" s="190"/>
      <c r="C19" s="190"/>
      <c r="D19" s="190"/>
      <c r="E19" s="190"/>
      <c r="F19" s="190"/>
      <c r="G19" s="190"/>
      <c r="H19" s="190"/>
      <c r="I19" s="190"/>
    </row>
  </sheetData>
  <phoneticPr fontId="13" type="noConversion"/>
  <printOptions horizontalCentered="1"/>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3"/>
  <dimension ref="A1:HX110"/>
  <sheetViews>
    <sheetView zoomScaleNormal="100" workbookViewId="0">
      <selection activeCell="C19" sqref="C19"/>
    </sheetView>
  </sheetViews>
  <sheetFormatPr defaultColWidth="12.42578125" defaultRowHeight="15"/>
  <cols>
    <col min="1" max="1" width="43.85546875" style="706" customWidth="1"/>
    <col min="2" max="3" width="19.7109375" style="706" customWidth="1"/>
    <col min="4" max="4" width="6.85546875" style="752" customWidth="1"/>
    <col min="5" max="5" width="11.7109375" style="706" bestFit="1" customWidth="1"/>
    <col min="6" max="6" width="12.42578125" style="706" customWidth="1"/>
    <col min="7" max="7" width="24" style="706" customWidth="1"/>
    <col min="8" max="8" width="27.85546875" style="706" customWidth="1"/>
    <col min="9" max="9" width="12.42578125" style="706" customWidth="1"/>
    <col min="10" max="10" width="9.140625" style="752" customWidth="1"/>
    <col min="11" max="11" width="22.42578125" style="725" bestFit="1" customWidth="1"/>
    <col min="12" max="12" width="22.5703125" style="725" bestFit="1" customWidth="1"/>
    <col min="13" max="13" width="7.7109375" style="725" bestFit="1" customWidth="1"/>
    <col min="14" max="14" width="16.7109375" style="725" bestFit="1" customWidth="1"/>
    <col min="15" max="15" width="8.5703125" style="725" bestFit="1" customWidth="1"/>
    <col min="16" max="20" width="6.5703125" style="725" bestFit="1" customWidth="1"/>
    <col min="21" max="21" width="7.7109375" style="725" customWidth="1"/>
    <col min="22" max="23" width="6.5703125" style="725" bestFit="1" customWidth="1"/>
    <col min="24" max="24" width="6.5703125" style="706" bestFit="1" customWidth="1"/>
    <col min="25" max="25" width="7.7109375" style="706" bestFit="1" customWidth="1"/>
    <col min="26" max="16384" width="12.42578125" style="706"/>
  </cols>
  <sheetData>
    <row r="1" spans="1:231" ht="18">
      <c r="A1" s="698" t="s">
        <v>413</v>
      </c>
      <c r="B1" s="699"/>
      <c r="C1" s="699"/>
      <c r="D1" s="700"/>
      <c r="E1" s="701"/>
      <c r="F1" s="702"/>
      <c r="G1" s="702"/>
      <c r="H1" s="702"/>
      <c r="I1" s="702"/>
      <c r="J1" s="700"/>
      <c r="K1" s="703"/>
      <c r="L1" s="704"/>
      <c r="M1" s="705"/>
      <c r="N1" s="705"/>
      <c r="O1" s="705"/>
      <c r="P1" s="705"/>
      <c r="Q1" s="705"/>
      <c r="R1" s="758"/>
      <c r="S1" s="758"/>
      <c r="T1" s="758"/>
      <c r="U1" s="758"/>
      <c r="V1" s="758"/>
      <c r="W1" s="758"/>
      <c r="X1" s="758"/>
      <c r="Y1" s="758"/>
      <c r="Z1" s="758"/>
      <c r="AA1" s="705"/>
      <c r="AB1" s="705"/>
      <c r="AC1" s="705"/>
      <c r="AD1" s="705"/>
      <c r="AE1" s="705"/>
      <c r="AF1" s="705"/>
      <c r="AG1" s="705"/>
      <c r="AH1" s="705"/>
      <c r="AI1" s="705"/>
      <c r="AJ1" s="705"/>
      <c r="AK1" s="705"/>
      <c r="AL1" s="705"/>
      <c r="AM1" s="705"/>
      <c r="AN1" s="705"/>
      <c r="AO1" s="705"/>
      <c r="AP1" s="705"/>
      <c r="AQ1" s="705"/>
      <c r="AR1" s="705"/>
      <c r="AS1" s="705"/>
      <c r="AT1" s="705"/>
      <c r="AU1" s="705"/>
      <c r="AV1" s="705"/>
      <c r="AW1" s="705"/>
      <c r="AX1" s="705"/>
      <c r="AY1" s="705"/>
      <c r="AZ1" s="705"/>
      <c r="BA1" s="705"/>
      <c r="BB1" s="705"/>
      <c r="BC1" s="705"/>
      <c r="BD1" s="705"/>
      <c r="BE1" s="705"/>
      <c r="BF1" s="705"/>
      <c r="BG1" s="705"/>
      <c r="BH1" s="705"/>
      <c r="BI1" s="705"/>
      <c r="BJ1" s="705"/>
      <c r="BK1" s="705"/>
      <c r="BL1" s="705"/>
      <c r="BM1" s="705"/>
      <c r="BN1" s="705"/>
      <c r="BO1" s="705"/>
      <c r="BP1" s="705"/>
      <c r="BQ1" s="705"/>
      <c r="BR1" s="705"/>
      <c r="BS1" s="705"/>
      <c r="BT1" s="705"/>
      <c r="BU1" s="705"/>
      <c r="BV1" s="705"/>
      <c r="BW1" s="705"/>
      <c r="BX1" s="705"/>
      <c r="BY1" s="705"/>
      <c r="BZ1" s="705"/>
      <c r="CA1" s="705"/>
      <c r="CB1" s="705"/>
      <c r="CC1" s="705"/>
      <c r="CD1" s="705"/>
      <c r="CE1" s="705"/>
      <c r="CF1" s="705"/>
      <c r="CG1" s="705"/>
      <c r="CH1" s="705"/>
      <c r="CI1" s="705"/>
      <c r="CJ1" s="705"/>
      <c r="CK1" s="705"/>
      <c r="CL1" s="705"/>
      <c r="CM1" s="705"/>
      <c r="CN1" s="705"/>
      <c r="CO1" s="705"/>
      <c r="CP1" s="705"/>
      <c r="CQ1" s="705"/>
      <c r="CR1" s="705"/>
      <c r="CS1" s="705"/>
      <c r="CT1" s="705"/>
      <c r="CU1" s="705"/>
      <c r="CV1" s="705"/>
      <c r="CW1" s="705"/>
      <c r="CX1" s="705"/>
      <c r="CY1" s="705"/>
      <c r="CZ1" s="705"/>
      <c r="DA1" s="705"/>
      <c r="DB1" s="705"/>
      <c r="DC1" s="705"/>
      <c r="DD1" s="705"/>
      <c r="DE1" s="705"/>
      <c r="DF1" s="705"/>
      <c r="DG1" s="705"/>
      <c r="DH1" s="705"/>
      <c r="DI1" s="705"/>
      <c r="DJ1" s="705"/>
      <c r="DK1" s="705"/>
      <c r="DL1" s="705"/>
      <c r="DM1" s="705"/>
      <c r="DN1" s="705"/>
      <c r="DO1" s="705"/>
      <c r="DP1" s="705"/>
      <c r="DQ1" s="705"/>
      <c r="DR1" s="705"/>
      <c r="DS1" s="705"/>
      <c r="DT1" s="705"/>
      <c r="DU1" s="705"/>
      <c r="DV1" s="705"/>
      <c r="DW1" s="705"/>
      <c r="DX1" s="705"/>
      <c r="DY1" s="705"/>
      <c r="DZ1" s="705"/>
      <c r="EA1" s="705"/>
      <c r="EB1" s="705"/>
      <c r="EC1" s="705"/>
      <c r="ED1" s="705"/>
      <c r="EE1" s="705"/>
      <c r="EF1" s="705"/>
      <c r="EG1" s="705"/>
      <c r="EH1" s="705"/>
      <c r="EI1" s="705"/>
      <c r="EJ1" s="705"/>
      <c r="EK1" s="705"/>
      <c r="EL1" s="705"/>
      <c r="EM1" s="705"/>
      <c r="EN1" s="705"/>
      <c r="EO1" s="705"/>
      <c r="EP1" s="705"/>
      <c r="EQ1" s="705"/>
      <c r="ER1" s="705"/>
      <c r="ES1" s="705"/>
      <c r="ET1" s="705"/>
      <c r="EU1" s="705"/>
      <c r="EV1" s="705"/>
      <c r="EW1" s="705"/>
      <c r="EX1" s="705"/>
      <c r="EY1" s="705"/>
      <c r="EZ1" s="705"/>
      <c r="FA1" s="705"/>
      <c r="FB1" s="705"/>
      <c r="FC1" s="705"/>
      <c r="FD1" s="705"/>
      <c r="FE1" s="705"/>
      <c r="FF1" s="705"/>
      <c r="FG1" s="705"/>
      <c r="FH1" s="705"/>
      <c r="FI1" s="705"/>
      <c r="FJ1" s="705"/>
      <c r="FK1" s="705"/>
      <c r="FL1" s="705"/>
      <c r="FM1" s="705"/>
      <c r="FN1" s="705"/>
      <c r="FO1" s="705"/>
      <c r="FP1" s="705"/>
      <c r="FQ1" s="705"/>
      <c r="FR1" s="705"/>
      <c r="FS1" s="705"/>
      <c r="FT1" s="705"/>
      <c r="FU1" s="705"/>
      <c r="FV1" s="705"/>
      <c r="FW1" s="705"/>
      <c r="FX1" s="705"/>
      <c r="FY1" s="705"/>
      <c r="FZ1" s="705"/>
      <c r="GA1" s="705"/>
      <c r="GB1" s="705"/>
      <c r="GC1" s="705"/>
      <c r="GD1" s="705"/>
      <c r="GE1" s="705"/>
      <c r="GF1" s="705"/>
      <c r="GG1" s="705"/>
      <c r="GH1" s="705"/>
      <c r="GI1" s="705"/>
      <c r="GJ1" s="705"/>
      <c r="GK1" s="705"/>
      <c r="GL1" s="705"/>
      <c r="GM1" s="705"/>
      <c r="GN1" s="705"/>
      <c r="GO1" s="705"/>
      <c r="GP1" s="705"/>
      <c r="GQ1" s="705"/>
      <c r="GR1" s="705"/>
      <c r="GS1" s="705"/>
      <c r="GT1" s="705"/>
      <c r="GU1" s="705"/>
      <c r="GV1" s="705"/>
      <c r="GW1" s="705"/>
      <c r="GX1" s="705"/>
      <c r="GY1" s="705"/>
      <c r="GZ1" s="705"/>
      <c r="HA1" s="705"/>
      <c r="HB1" s="705"/>
      <c r="HC1" s="705"/>
      <c r="HD1" s="705"/>
      <c r="HE1" s="705"/>
      <c r="HF1" s="705"/>
      <c r="HG1" s="705"/>
      <c r="HH1" s="705"/>
      <c r="HI1" s="705"/>
      <c r="HJ1" s="705"/>
      <c r="HK1" s="705"/>
      <c r="HL1" s="705"/>
      <c r="HM1" s="705"/>
      <c r="HN1" s="705"/>
      <c r="HO1" s="705"/>
      <c r="HP1" s="705"/>
      <c r="HQ1" s="705"/>
      <c r="HR1" s="705"/>
      <c r="HS1" s="705"/>
      <c r="HT1" s="705"/>
      <c r="HU1" s="705"/>
      <c r="HV1" s="705"/>
    </row>
    <row r="2" spans="1:231" ht="18">
      <c r="A2" s="698" t="s">
        <v>414</v>
      </c>
      <c r="B2" s="699"/>
      <c r="C2" s="699"/>
      <c r="D2" s="700"/>
      <c r="E2" s="701"/>
      <c r="F2" s="702"/>
      <c r="G2" s="702"/>
      <c r="H2" s="702"/>
      <c r="I2" s="702"/>
      <c r="J2" s="700"/>
      <c r="K2" s="707"/>
      <c r="L2" s="708">
        <v>1999</v>
      </c>
      <c r="M2" s="761">
        <v>2000</v>
      </c>
      <c r="N2" s="761">
        <v>2001</v>
      </c>
      <c r="O2" s="761">
        <v>2002</v>
      </c>
      <c r="P2" s="761">
        <v>2003</v>
      </c>
      <c r="Q2" s="761">
        <v>2004</v>
      </c>
      <c r="R2" s="761">
        <v>2005</v>
      </c>
      <c r="S2" s="761">
        <v>2006</v>
      </c>
      <c r="T2" s="761">
        <v>2007</v>
      </c>
      <c r="U2" s="761">
        <v>2008</v>
      </c>
      <c r="V2" s="761">
        <v>2009</v>
      </c>
      <c r="W2" s="761">
        <v>2010</v>
      </c>
      <c r="X2" s="761">
        <v>2011</v>
      </c>
      <c r="Y2" s="761">
        <v>2012</v>
      </c>
      <c r="Z2" s="758"/>
      <c r="AA2" s="705"/>
      <c r="AB2" s="705"/>
      <c r="AC2" s="705"/>
      <c r="AD2" s="705"/>
      <c r="AE2" s="705"/>
      <c r="AF2" s="705"/>
      <c r="AG2" s="705"/>
      <c r="AH2" s="705"/>
      <c r="AI2" s="705"/>
      <c r="AJ2" s="705"/>
      <c r="AK2" s="705"/>
      <c r="AL2" s="705"/>
      <c r="AM2" s="705"/>
      <c r="AN2" s="705"/>
      <c r="AO2" s="705"/>
      <c r="AP2" s="705"/>
      <c r="AQ2" s="705"/>
      <c r="AR2" s="705"/>
      <c r="AS2" s="705"/>
      <c r="AT2" s="705"/>
      <c r="AU2" s="705"/>
      <c r="AV2" s="705"/>
      <c r="AW2" s="705"/>
      <c r="AX2" s="705"/>
      <c r="AY2" s="705"/>
      <c r="AZ2" s="705"/>
      <c r="BA2" s="705"/>
      <c r="BB2" s="705"/>
      <c r="BC2" s="705"/>
      <c r="BD2" s="705"/>
      <c r="BE2" s="705"/>
      <c r="BF2" s="705"/>
      <c r="BG2" s="705"/>
      <c r="BH2" s="705"/>
      <c r="BI2" s="705"/>
      <c r="BJ2" s="705"/>
      <c r="BK2" s="705"/>
      <c r="BL2" s="705"/>
      <c r="BM2" s="705"/>
      <c r="BN2" s="705"/>
      <c r="BO2" s="705"/>
      <c r="BP2" s="705"/>
      <c r="BQ2" s="705"/>
      <c r="BR2" s="705"/>
      <c r="BS2" s="705"/>
      <c r="BT2" s="705"/>
      <c r="BU2" s="705"/>
      <c r="BV2" s="705"/>
      <c r="BW2" s="705"/>
      <c r="BX2" s="705"/>
      <c r="BY2" s="705"/>
      <c r="BZ2" s="705"/>
      <c r="CA2" s="705"/>
      <c r="CB2" s="705"/>
      <c r="CC2" s="705"/>
      <c r="CD2" s="705"/>
      <c r="CE2" s="705"/>
      <c r="CF2" s="705"/>
      <c r="CG2" s="705"/>
      <c r="CH2" s="705"/>
      <c r="CI2" s="705"/>
      <c r="CJ2" s="705"/>
      <c r="CK2" s="705"/>
      <c r="CL2" s="705"/>
      <c r="CM2" s="705"/>
      <c r="CN2" s="705"/>
      <c r="CO2" s="705"/>
      <c r="CP2" s="705"/>
      <c r="CQ2" s="705"/>
      <c r="CR2" s="705"/>
      <c r="CS2" s="705"/>
      <c r="CT2" s="705"/>
      <c r="CU2" s="705"/>
      <c r="CV2" s="705"/>
      <c r="CW2" s="705"/>
      <c r="CX2" s="705"/>
      <c r="CY2" s="705"/>
      <c r="CZ2" s="705"/>
      <c r="DA2" s="705"/>
      <c r="DB2" s="705"/>
      <c r="DC2" s="705"/>
      <c r="DD2" s="705"/>
      <c r="DE2" s="705"/>
      <c r="DF2" s="705"/>
      <c r="DG2" s="705"/>
      <c r="DH2" s="705"/>
      <c r="DI2" s="705"/>
      <c r="DJ2" s="705"/>
      <c r="DK2" s="705"/>
      <c r="DL2" s="705"/>
      <c r="DM2" s="705"/>
      <c r="DN2" s="705"/>
      <c r="DO2" s="705"/>
      <c r="DP2" s="705"/>
      <c r="DQ2" s="705"/>
      <c r="DR2" s="705"/>
      <c r="DS2" s="705"/>
      <c r="DT2" s="705"/>
      <c r="DU2" s="705"/>
      <c r="DV2" s="705"/>
      <c r="DW2" s="705"/>
      <c r="DX2" s="705"/>
      <c r="DY2" s="705"/>
      <c r="DZ2" s="705"/>
      <c r="EA2" s="705"/>
      <c r="EB2" s="705"/>
      <c r="EC2" s="705"/>
      <c r="ED2" s="705"/>
      <c r="EE2" s="705"/>
      <c r="EF2" s="705"/>
      <c r="EG2" s="705"/>
      <c r="EH2" s="705"/>
      <c r="EI2" s="705"/>
      <c r="EJ2" s="705"/>
      <c r="EK2" s="705"/>
      <c r="EL2" s="705"/>
      <c r="EM2" s="705"/>
      <c r="EN2" s="705"/>
      <c r="EO2" s="705"/>
      <c r="EP2" s="705"/>
      <c r="EQ2" s="705"/>
      <c r="ER2" s="705"/>
      <c r="ES2" s="705"/>
      <c r="ET2" s="705"/>
      <c r="EU2" s="705"/>
      <c r="EV2" s="705"/>
      <c r="EW2" s="705"/>
      <c r="EX2" s="705"/>
      <c r="EY2" s="705"/>
      <c r="EZ2" s="705"/>
      <c r="FA2" s="705"/>
      <c r="FB2" s="705"/>
      <c r="FC2" s="705"/>
      <c r="FD2" s="705"/>
      <c r="FE2" s="705"/>
      <c r="FF2" s="705"/>
      <c r="FG2" s="705"/>
      <c r="FH2" s="705"/>
      <c r="FI2" s="705"/>
      <c r="FJ2" s="705"/>
      <c r="FK2" s="705"/>
      <c r="FL2" s="705"/>
      <c r="FM2" s="705"/>
      <c r="FN2" s="705"/>
      <c r="FO2" s="705"/>
      <c r="FP2" s="705"/>
      <c r="FQ2" s="705"/>
      <c r="FR2" s="705"/>
      <c r="FS2" s="705"/>
      <c r="FT2" s="705"/>
      <c r="FU2" s="705"/>
      <c r="FV2" s="705"/>
      <c r="FW2" s="705"/>
      <c r="FX2" s="705"/>
      <c r="FY2" s="705"/>
      <c r="FZ2" s="705"/>
      <c r="GA2" s="705"/>
      <c r="GB2" s="705"/>
      <c r="GC2" s="705"/>
      <c r="GD2" s="705"/>
      <c r="GE2" s="705"/>
      <c r="GF2" s="705"/>
      <c r="GG2" s="705"/>
      <c r="GH2" s="705"/>
      <c r="GI2" s="705"/>
      <c r="GJ2" s="705"/>
      <c r="GK2" s="705"/>
      <c r="GL2" s="705"/>
      <c r="GM2" s="705"/>
      <c r="GN2" s="705"/>
      <c r="GO2" s="705"/>
      <c r="GP2" s="705"/>
      <c r="GQ2" s="705"/>
      <c r="GR2" s="705"/>
      <c r="GS2" s="705"/>
      <c r="GT2" s="705"/>
      <c r="GU2" s="705"/>
      <c r="GV2" s="705"/>
      <c r="GW2" s="705"/>
      <c r="GX2" s="705"/>
      <c r="GY2" s="705"/>
      <c r="GZ2" s="705"/>
      <c r="HA2" s="705"/>
      <c r="HB2" s="705"/>
      <c r="HC2" s="705"/>
      <c r="HD2" s="705"/>
      <c r="HE2" s="705"/>
      <c r="HF2" s="705"/>
      <c r="HG2" s="705"/>
      <c r="HH2" s="705"/>
      <c r="HI2" s="705"/>
      <c r="HJ2" s="705"/>
      <c r="HK2" s="705"/>
      <c r="HL2" s="705"/>
      <c r="HM2" s="705"/>
      <c r="HN2" s="705"/>
      <c r="HO2" s="705"/>
      <c r="HP2" s="705"/>
      <c r="HQ2" s="705"/>
      <c r="HR2" s="705"/>
      <c r="HS2" s="705"/>
      <c r="HT2" s="705"/>
      <c r="HU2" s="705"/>
      <c r="HV2" s="705"/>
    </row>
    <row r="3" spans="1:231" ht="14.1" customHeight="1">
      <c r="A3" s="702"/>
      <c r="B3" s="702"/>
      <c r="C3" s="702"/>
      <c r="D3" s="700"/>
      <c r="E3" s="709" t="s">
        <v>1062</v>
      </c>
      <c r="F3" s="702"/>
      <c r="G3" s="702"/>
      <c r="H3" s="702"/>
      <c r="I3" s="702"/>
      <c r="J3" s="700"/>
      <c r="K3" s="710" t="s">
        <v>4</v>
      </c>
      <c r="L3" s="711">
        <v>6.0878509999999997</v>
      </c>
      <c r="M3" s="762">
        <v>6.8289059999999999</v>
      </c>
      <c r="N3" s="762">
        <v>7.0870170000000003</v>
      </c>
      <c r="O3" s="762">
        <v>7.2263000000000002</v>
      </c>
      <c r="P3" s="762">
        <v>6.7756999999999996</v>
      </c>
      <c r="Q3" s="762">
        <v>7.3849</v>
      </c>
      <c r="R3" s="762">
        <v>8.3523999999999994</v>
      </c>
      <c r="S3" s="762">
        <v>9.2648829999999993</v>
      </c>
      <c r="T3" s="762">
        <v>9.7875920000000001</v>
      </c>
      <c r="U3" s="762">
        <v>10.114833000000001</v>
      </c>
      <c r="V3" s="762">
        <v>9.481109</v>
      </c>
      <c r="W3" s="762">
        <v>9.0882520000000007</v>
      </c>
      <c r="X3" s="762">
        <f>B9/1000000000</f>
        <v>9.9443699999999993</v>
      </c>
      <c r="Y3" s="762">
        <f>C9/1000000000</f>
        <v>10.612836</v>
      </c>
      <c r="Z3" s="758"/>
      <c r="AA3" s="705"/>
      <c r="AB3" s="705"/>
      <c r="AC3" s="705"/>
      <c r="AD3" s="705"/>
      <c r="AE3" s="705"/>
      <c r="AF3" s="705"/>
      <c r="AG3" s="705"/>
      <c r="AH3" s="705"/>
      <c r="AI3" s="705"/>
      <c r="AJ3" s="705"/>
      <c r="AK3" s="705"/>
      <c r="AL3" s="705"/>
      <c r="AM3" s="705"/>
      <c r="AN3" s="705"/>
      <c r="AO3" s="705"/>
      <c r="AP3" s="705"/>
      <c r="AQ3" s="705"/>
      <c r="AR3" s="705"/>
      <c r="AS3" s="705"/>
      <c r="AT3" s="705"/>
      <c r="AU3" s="705"/>
      <c r="AV3" s="705"/>
      <c r="AW3" s="705"/>
      <c r="AX3" s="705"/>
      <c r="AY3" s="705"/>
      <c r="AZ3" s="705"/>
      <c r="BA3" s="705"/>
      <c r="BB3" s="705"/>
      <c r="BC3" s="705"/>
      <c r="BD3" s="705"/>
      <c r="BE3" s="705"/>
      <c r="BF3" s="705"/>
      <c r="BG3" s="705"/>
      <c r="BH3" s="705"/>
      <c r="BI3" s="705"/>
      <c r="BJ3" s="705"/>
      <c r="BK3" s="705"/>
      <c r="BL3" s="705"/>
      <c r="BM3" s="705"/>
      <c r="BN3" s="705"/>
      <c r="BO3" s="705"/>
      <c r="BP3" s="705"/>
      <c r="BQ3" s="705"/>
      <c r="BR3" s="705"/>
      <c r="BS3" s="705"/>
      <c r="BT3" s="705"/>
      <c r="BU3" s="705"/>
      <c r="BV3" s="705"/>
      <c r="BW3" s="705"/>
      <c r="BX3" s="705"/>
      <c r="BY3" s="705"/>
      <c r="BZ3" s="705"/>
      <c r="CA3" s="705"/>
      <c r="CB3" s="705"/>
      <c r="CC3" s="705"/>
      <c r="CD3" s="705"/>
      <c r="CE3" s="705"/>
      <c r="CF3" s="705"/>
      <c r="CG3" s="705"/>
      <c r="CH3" s="705"/>
      <c r="CI3" s="705"/>
      <c r="CJ3" s="705"/>
      <c r="CK3" s="705"/>
      <c r="CL3" s="705"/>
      <c r="CM3" s="705"/>
      <c r="CN3" s="705"/>
      <c r="CO3" s="705"/>
      <c r="CP3" s="705"/>
      <c r="CQ3" s="705"/>
      <c r="CR3" s="705"/>
      <c r="CS3" s="705"/>
      <c r="CT3" s="705"/>
      <c r="CU3" s="705"/>
      <c r="CV3" s="705"/>
      <c r="CW3" s="705"/>
      <c r="CX3" s="705"/>
      <c r="CY3" s="705"/>
      <c r="CZ3" s="705"/>
      <c r="DA3" s="705"/>
      <c r="DB3" s="705"/>
      <c r="DC3" s="705"/>
      <c r="DD3" s="705"/>
      <c r="DE3" s="705"/>
      <c r="DF3" s="705"/>
      <c r="DG3" s="705"/>
      <c r="DH3" s="705"/>
      <c r="DI3" s="705"/>
      <c r="DJ3" s="705"/>
      <c r="DK3" s="705"/>
      <c r="DL3" s="705"/>
      <c r="DM3" s="705"/>
      <c r="DN3" s="705"/>
      <c r="DO3" s="705"/>
      <c r="DP3" s="705"/>
      <c r="DQ3" s="705"/>
      <c r="DR3" s="705"/>
      <c r="DS3" s="705"/>
      <c r="DT3" s="705"/>
      <c r="DU3" s="705"/>
      <c r="DV3" s="705"/>
      <c r="DW3" s="705"/>
      <c r="DX3" s="705"/>
      <c r="DY3" s="705"/>
      <c r="DZ3" s="705"/>
      <c r="EA3" s="705"/>
      <c r="EB3" s="705"/>
      <c r="EC3" s="705"/>
      <c r="ED3" s="705"/>
      <c r="EE3" s="705"/>
      <c r="EF3" s="705"/>
      <c r="EG3" s="705"/>
      <c r="EH3" s="705"/>
      <c r="EI3" s="705"/>
      <c r="EJ3" s="705"/>
      <c r="EK3" s="705"/>
      <c r="EL3" s="705"/>
      <c r="EM3" s="705"/>
      <c r="EN3" s="705"/>
      <c r="EO3" s="705"/>
      <c r="EP3" s="705"/>
      <c r="EQ3" s="705"/>
      <c r="ER3" s="705"/>
      <c r="ES3" s="705"/>
      <c r="ET3" s="705"/>
      <c r="EU3" s="705"/>
      <c r="EV3" s="705"/>
      <c r="EW3" s="705"/>
      <c r="EX3" s="705"/>
      <c r="EY3" s="705"/>
      <c r="EZ3" s="705"/>
      <c r="FA3" s="705"/>
      <c r="FB3" s="705"/>
      <c r="FC3" s="705"/>
      <c r="FD3" s="705"/>
      <c r="FE3" s="705"/>
      <c r="FF3" s="705"/>
      <c r="FG3" s="705"/>
      <c r="FH3" s="705"/>
      <c r="FI3" s="705"/>
      <c r="FJ3" s="705"/>
      <c r="FK3" s="705"/>
      <c r="FL3" s="705"/>
      <c r="FM3" s="705"/>
      <c r="FN3" s="705"/>
      <c r="FO3" s="705"/>
      <c r="FP3" s="705"/>
      <c r="FQ3" s="705"/>
      <c r="FR3" s="705"/>
      <c r="FS3" s="705"/>
      <c r="FT3" s="705"/>
      <c r="FU3" s="705"/>
      <c r="FV3" s="705"/>
      <c r="FW3" s="705"/>
      <c r="FX3" s="705"/>
      <c r="FY3" s="705"/>
      <c r="FZ3" s="705"/>
      <c r="GA3" s="705"/>
      <c r="GB3" s="705"/>
      <c r="GC3" s="705"/>
      <c r="GD3" s="705"/>
      <c r="GE3" s="705"/>
      <c r="GF3" s="705"/>
      <c r="GG3" s="705"/>
      <c r="GH3" s="705"/>
      <c r="GI3" s="705"/>
      <c r="GJ3" s="705"/>
      <c r="GK3" s="705"/>
      <c r="GL3" s="705"/>
      <c r="GM3" s="705"/>
      <c r="GN3" s="705"/>
      <c r="GO3" s="705"/>
      <c r="GP3" s="705"/>
      <c r="GQ3" s="705"/>
      <c r="GR3" s="705"/>
      <c r="GS3" s="705"/>
      <c r="GT3" s="705"/>
      <c r="GU3" s="705"/>
      <c r="GV3" s="705"/>
      <c r="GW3" s="705"/>
      <c r="GX3" s="705"/>
      <c r="GY3" s="705"/>
      <c r="GZ3" s="705"/>
      <c r="HA3" s="705"/>
      <c r="HB3" s="705"/>
      <c r="HC3" s="705"/>
      <c r="HD3" s="705"/>
      <c r="HE3" s="705"/>
      <c r="HF3" s="705"/>
      <c r="HG3" s="705"/>
      <c r="HH3" s="705"/>
      <c r="HI3" s="705"/>
      <c r="HJ3" s="705"/>
      <c r="HK3" s="705"/>
      <c r="HL3" s="705"/>
      <c r="HM3" s="705"/>
      <c r="HN3" s="705"/>
      <c r="HO3" s="705"/>
      <c r="HP3" s="705"/>
      <c r="HQ3" s="705"/>
      <c r="HR3" s="705"/>
      <c r="HS3" s="705"/>
      <c r="HT3" s="705"/>
      <c r="HU3" s="705"/>
      <c r="HV3" s="705"/>
    </row>
    <row r="4" spans="1:231" ht="14.1" customHeight="1">
      <c r="A4" s="712" t="s">
        <v>415</v>
      </c>
      <c r="B4" s="713" t="s">
        <v>440</v>
      </c>
      <c r="C4" s="713" t="s">
        <v>1061</v>
      </c>
      <c r="D4" s="700"/>
      <c r="E4" s="714" t="s">
        <v>411</v>
      </c>
      <c r="F4" s="715"/>
      <c r="G4" s="715"/>
      <c r="H4" s="715"/>
      <c r="I4" s="715"/>
      <c r="J4" s="700"/>
      <c r="K4" s="710" t="s">
        <v>3</v>
      </c>
      <c r="L4" s="711">
        <v>2.0652650000000001</v>
      </c>
      <c r="M4" s="762">
        <v>2.201533</v>
      </c>
      <c r="N4" s="762">
        <v>2.2729539999999999</v>
      </c>
      <c r="O4" s="762">
        <v>2.0283310000000001</v>
      </c>
      <c r="P4" s="762">
        <v>2.1733069999999999</v>
      </c>
      <c r="Q4" s="762">
        <v>2.562446</v>
      </c>
      <c r="R4" s="762">
        <v>2.9462000000000002</v>
      </c>
      <c r="S4" s="762">
        <v>2.8128769999999998</v>
      </c>
      <c r="T4" s="762">
        <v>3.0492900000000001</v>
      </c>
      <c r="U4" s="762">
        <v>3.0757620000000001</v>
      </c>
      <c r="V4" s="762">
        <v>2.9041419999999998</v>
      </c>
      <c r="W4" s="762">
        <v>3.082532</v>
      </c>
      <c r="X4" s="762">
        <f>B13/1000000000</f>
        <v>3.0123790000000001</v>
      </c>
      <c r="Y4" s="762">
        <f>C13/1000000000</f>
        <v>3.1215030000000001</v>
      </c>
      <c r="Z4" s="758"/>
      <c r="AA4" s="705"/>
      <c r="AB4" s="705"/>
      <c r="AC4" s="705"/>
      <c r="AD4" s="705"/>
      <c r="AE4" s="705"/>
      <c r="AF4" s="705"/>
      <c r="AG4" s="705"/>
      <c r="AH4" s="705"/>
      <c r="AI4" s="705"/>
      <c r="AJ4" s="705"/>
      <c r="AK4" s="705"/>
      <c r="AL4" s="705"/>
      <c r="AM4" s="705"/>
      <c r="AN4" s="705"/>
      <c r="AO4" s="705"/>
      <c r="AP4" s="705"/>
      <c r="AQ4" s="705"/>
      <c r="AR4" s="705"/>
      <c r="AS4" s="705"/>
      <c r="AT4" s="705"/>
      <c r="AU4" s="705"/>
      <c r="AV4" s="705"/>
      <c r="AW4" s="705"/>
      <c r="AX4" s="705"/>
      <c r="AY4" s="705"/>
      <c r="AZ4" s="705"/>
      <c r="BA4" s="705"/>
      <c r="BB4" s="705"/>
      <c r="BC4" s="705"/>
      <c r="BD4" s="705"/>
      <c r="BE4" s="705"/>
      <c r="BF4" s="705"/>
      <c r="BG4" s="705"/>
      <c r="BH4" s="705"/>
      <c r="BI4" s="705"/>
      <c r="BJ4" s="705"/>
      <c r="BK4" s="705"/>
      <c r="BL4" s="705"/>
      <c r="BM4" s="705"/>
      <c r="BN4" s="705"/>
      <c r="BO4" s="705"/>
      <c r="BP4" s="705"/>
      <c r="BQ4" s="705"/>
      <c r="BR4" s="705"/>
      <c r="BS4" s="705"/>
      <c r="BT4" s="705"/>
      <c r="BU4" s="705"/>
      <c r="BV4" s="705"/>
      <c r="BW4" s="705"/>
      <c r="BX4" s="705"/>
      <c r="BY4" s="705"/>
      <c r="BZ4" s="705"/>
      <c r="CA4" s="705"/>
      <c r="CB4" s="705"/>
      <c r="CC4" s="705"/>
      <c r="CD4" s="705"/>
      <c r="CE4" s="705"/>
      <c r="CF4" s="705"/>
      <c r="CG4" s="705"/>
      <c r="CH4" s="705"/>
      <c r="CI4" s="705"/>
      <c r="CJ4" s="705"/>
      <c r="CK4" s="705"/>
      <c r="CL4" s="705"/>
      <c r="CM4" s="705"/>
      <c r="CN4" s="705"/>
      <c r="CO4" s="705"/>
      <c r="CP4" s="705"/>
      <c r="CQ4" s="705"/>
      <c r="CR4" s="705"/>
      <c r="CS4" s="705"/>
      <c r="CT4" s="705"/>
      <c r="CU4" s="705"/>
      <c r="CV4" s="705"/>
      <c r="CW4" s="705"/>
      <c r="CX4" s="705"/>
      <c r="CY4" s="705"/>
      <c r="CZ4" s="705"/>
      <c r="DA4" s="705"/>
      <c r="DB4" s="705"/>
      <c r="DC4" s="705"/>
      <c r="DD4" s="705"/>
      <c r="DE4" s="705"/>
      <c r="DF4" s="705"/>
      <c r="DG4" s="705"/>
      <c r="DH4" s="705"/>
      <c r="DI4" s="705"/>
      <c r="DJ4" s="705"/>
      <c r="DK4" s="705"/>
      <c r="DL4" s="705"/>
      <c r="DM4" s="705"/>
      <c r="DN4" s="705"/>
      <c r="DO4" s="705"/>
      <c r="DP4" s="705"/>
      <c r="DQ4" s="705"/>
      <c r="DR4" s="705"/>
      <c r="DS4" s="705"/>
      <c r="DT4" s="705"/>
      <c r="DU4" s="705"/>
      <c r="DV4" s="705"/>
      <c r="DW4" s="705"/>
      <c r="DX4" s="705"/>
      <c r="DY4" s="705"/>
      <c r="DZ4" s="705"/>
      <c r="EA4" s="705"/>
      <c r="EB4" s="705"/>
      <c r="EC4" s="705"/>
      <c r="ED4" s="705"/>
      <c r="EE4" s="705"/>
      <c r="EF4" s="705"/>
      <c r="EG4" s="705"/>
      <c r="EH4" s="705"/>
      <c r="EI4" s="705"/>
      <c r="EJ4" s="705"/>
      <c r="EK4" s="705"/>
      <c r="EL4" s="705"/>
      <c r="EM4" s="705"/>
      <c r="EN4" s="705"/>
      <c r="EO4" s="705"/>
      <c r="EP4" s="705"/>
      <c r="EQ4" s="705"/>
      <c r="ER4" s="705"/>
      <c r="ES4" s="705"/>
      <c r="ET4" s="705"/>
      <c r="EU4" s="705"/>
      <c r="EV4" s="705"/>
      <c r="EW4" s="705"/>
      <c r="EX4" s="705"/>
      <c r="EY4" s="705"/>
      <c r="EZ4" s="705"/>
      <c r="FA4" s="705"/>
      <c r="FB4" s="705"/>
      <c r="FC4" s="705"/>
      <c r="FD4" s="705"/>
      <c r="FE4" s="705"/>
      <c r="FF4" s="705"/>
      <c r="FG4" s="705"/>
      <c r="FH4" s="705"/>
      <c r="FI4" s="705"/>
      <c r="FJ4" s="705"/>
      <c r="FK4" s="705"/>
      <c r="FL4" s="705"/>
      <c r="FM4" s="705"/>
      <c r="FN4" s="705"/>
      <c r="FO4" s="705"/>
      <c r="FP4" s="705"/>
      <c r="FQ4" s="705"/>
      <c r="FR4" s="705"/>
      <c r="FS4" s="705"/>
      <c r="FT4" s="705"/>
      <c r="FU4" s="705"/>
      <c r="FV4" s="705"/>
      <c r="FW4" s="705"/>
      <c r="FX4" s="705"/>
      <c r="FY4" s="705"/>
      <c r="FZ4" s="705"/>
      <c r="GA4" s="705"/>
      <c r="GB4" s="705"/>
      <c r="GC4" s="705"/>
      <c r="GD4" s="705"/>
      <c r="GE4" s="705"/>
      <c r="GF4" s="705"/>
      <c r="GG4" s="705"/>
      <c r="GH4" s="705"/>
      <c r="GI4" s="705"/>
      <c r="GJ4" s="705"/>
      <c r="GK4" s="705"/>
      <c r="GL4" s="705"/>
      <c r="GM4" s="705"/>
      <c r="GN4" s="705"/>
      <c r="GO4" s="705"/>
      <c r="GP4" s="705"/>
      <c r="GQ4" s="705"/>
      <c r="GR4" s="705"/>
      <c r="GS4" s="705"/>
      <c r="GT4" s="705"/>
      <c r="GU4" s="705"/>
      <c r="GV4" s="705"/>
      <c r="GW4" s="705"/>
      <c r="GX4" s="705"/>
      <c r="GY4" s="705"/>
      <c r="GZ4" s="705"/>
      <c r="HA4" s="705"/>
      <c r="HB4" s="705"/>
      <c r="HC4" s="705"/>
      <c r="HD4" s="705"/>
      <c r="HE4" s="705"/>
      <c r="HF4" s="705"/>
      <c r="HG4" s="705"/>
      <c r="HH4" s="705"/>
      <c r="HI4" s="705"/>
      <c r="HJ4" s="705"/>
      <c r="HK4" s="705"/>
      <c r="HL4" s="705"/>
      <c r="HM4" s="705"/>
      <c r="HN4" s="705"/>
      <c r="HO4" s="705"/>
      <c r="HP4" s="705"/>
      <c r="HQ4" s="705"/>
      <c r="HR4" s="705"/>
      <c r="HS4" s="705"/>
      <c r="HT4" s="705"/>
      <c r="HU4" s="705"/>
      <c r="HV4" s="705"/>
    </row>
    <row r="5" spans="1:231" ht="14.1" customHeight="1">
      <c r="A5" s="712"/>
      <c r="B5" s="716"/>
      <c r="C5" s="716"/>
      <c r="D5" s="700"/>
      <c r="E5" s="714" t="s">
        <v>412</v>
      </c>
      <c r="F5" s="715"/>
      <c r="G5" s="715"/>
      <c r="H5" s="715"/>
      <c r="I5" s="715"/>
      <c r="J5" s="700"/>
      <c r="K5" s="703"/>
      <c r="L5" s="704"/>
      <c r="M5" s="704"/>
      <c r="N5" s="704"/>
      <c r="O5" s="704"/>
      <c r="P5" s="717"/>
      <c r="Q5" s="704"/>
      <c r="R5" s="704"/>
      <c r="S5" s="704"/>
      <c r="T5" s="704"/>
      <c r="U5" s="704"/>
      <c r="V5" s="704"/>
      <c r="W5" s="704"/>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5"/>
      <c r="AX5" s="705"/>
      <c r="AY5" s="705"/>
      <c r="AZ5" s="705"/>
      <c r="BA5" s="705"/>
      <c r="BB5" s="705"/>
      <c r="BC5" s="705"/>
      <c r="BD5" s="705"/>
      <c r="BE5" s="705"/>
      <c r="BF5" s="705"/>
      <c r="BG5" s="705"/>
      <c r="BH5" s="705"/>
      <c r="BI5" s="705"/>
      <c r="BJ5" s="705"/>
      <c r="BK5" s="705"/>
      <c r="BL5" s="705"/>
      <c r="BM5" s="705"/>
      <c r="BN5" s="705"/>
      <c r="BO5" s="705"/>
      <c r="BP5" s="705"/>
      <c r="BQ5" s="705"/>
      <c r="BR5" s="705"/>
      <c r="BS5" s="705"/>
      <c r="BT5" s="705"/>
      <c r="BU5" s="705"/>
      <c r="BV5" s="705"/>
      <c r="BW5" s="705"/>
      <c r="BX5" s="705"/>
      <c r="BY5" s="705"/>
      <c r="BZ5" s="705"/>
      <c r="CA5" s="705"/>
      <c r="CB5" s="705"/>
      <c r="CC5" s="705"/>
      <c r="CD5" s="705"/>
      <c r="CE5" s="705"/>
      <c r="CF5" s="705"/>
      <c r="CG5" s="705"/>
      <c r="CH5" s="705"/>
      <c r="CI5" s="705"/>
      <c r="CJ5" s="705"/>
      <c r="CK5" s="705"/>
      <c r="CL5" s="705"/>
      <c r="CM5" s="705"/>
      <c r="CN5" s="705"/>
      <c r="CO5" s="705"/>
      <c r="CP5" s="705"/>
      <c r="CQ5" s="705"/>
      <c r="CR5" s="705"/>
      <c r="CS5" s="705"/>
      <c r="CT5" s="705"/>
      <c r="CU5" s="705"/>
      <c r="CV5" s="705"/>
      <c r="CW5" s="705"/>
      <c r="CX5" s="705"/>
      <c r="CY5" s="705"/>
      <c r="CZ5" s="705"/>
      <c r="DA5" s="705"/>
      <c r="DB5" s="705"/>
      <c r="DC5" s="705"/>
      <c r="DD5" s="705"/>
      <c r="DE5" s="705"/>
      <c r="DF5" s="705"/>
      <c r="DG5" s="705"/>
      <c r="DH5" s="705"/>
      <c r="DI5" s="705"/>
      <c r="DJ5" s="705"/>
      <c r="DK5" s="705"/>
      <c r="DL5" s="705"/>
      <c r="DM5" s="705"/>
      <c r="DN5" s="705"/>
      <c r="DO5" s="705"/>
      <c r="DP5" s="705"/>
      <c r="DQ5" s="705"/>
      <c r="DR5" s="705"/>
      <c r="DS5" s="705"/>
      <c r="DT5" s="705"/>
      <c r="DU5" s="705"/>
      <c r="DV5" s="705"/>
      <c r="DW5" s="705"/>
      <c r="DX5" s="705"/>
      <c r="DY5" s="705"/>
      <c r="DZ5" s="705"/>
      <c r="EA5" s="705"/>
      <c r="EB5" s="705"/>
      <c r="EC5" s="705"/>
      <c r="ED5" s="705"/>
      <c r="EE5" s="705"/>
      <c r="EF5" s="705"/>
      <c r="EG5" s="705"/>
      <c r="EH5" s="705"/>
      <c r="EI5" s="705"/>
      <c r="EJ5" s="705"/>
      <c r="EK5" s="705"/>
      <c r="EL5" s="705"/>
      <c r="EM5" s="705"/>
      <c r="EN5" s="705"/>
      <c r="EO5" s="705"/>
      <c r="EP5" s="705"/>
      <c r="EQ5" s="705"/>
      <c r="ER5" s="705"/>
      <c r="ES5" s="705"/>
      <c r="ET5" s="705"/>
      <c r="EU5" s="705"/>
      <c r="EV5" s="705"/>
      <c r="EW5" s="705"/>
      <c r="EX5" s="705"/>
      <c r="EY5" s="705"/>
      <c r="EZ5" s="705"/>
      <c r="FA5" s="705"/>
      <c r="FB5" s="705"/>
      <c r="FC5" s="705"/>
      <c r="FD5" s="705"/>
      <c r="FE5" s="705"/>
      <c r="FF5" s="705"/>
      <c r="FG5" s="705"/>
      <c r="FH5" s="705"/>
      <c r="FI5" s="705"/>
      <c r="FJ5" s="705"/>
      <c r="FK5" s="705"/>
      <c r="FL5" s="705"/>
      <c r="FM5" s="705"/>
      <c r="FN5" s="705"/>
      <c r="FO5" s="705"/>
      <c r="FP5" s="705"/>
      <c r="FQ5" s="705"/>
      <c r="FR5" s="705"/>
      <c r="FS5" s="705"/>
      <c r="FT5" s="705"/>
      <c r="FU5" s="705"/>
      <c r="FV5" s="705"/>
      <c r="FW5" s="705"/>
      <c r="FX5" s="705"/>
      <c r="FY5" s="705"/>
      <c r="FZ5" s="705"/>
      <c r="GA5" s="705"/>
      <c r="GB5" s="705"/>
      <c r="GC5" s="705"/>
      <c r="GD5" s="705"/>
      <c r="GE5" s="705"/>
      <c r="GF5" s="705"/>
      <c r="GG5" s="705"/>
      <c r="GH5" s="705"/>
      <c r="GI5" s="705"/>
      <c r="GJ5" s="705"/>
      <c r="GK5" s="705"/>
      <c r="GL5" s="705"/>
      <c r="GM5" s="705"/>
      <c r="GN5" s="705"/>
      <c r="GO5" s="705"/>
      <c r="GP5" s="705"/>
      <c r="GQ5" s="705"/>
      <c r="GR5" s="705"/>
      <c r="GS5" s="705"/>
      <c r="GT5" s="705"/>
      <c r="GU5" s="705"/>
      <c r="GV5" s="705"/>
      <c r="GW5" s="705"/>
      <c r="GX5" s="705"/>
      <c r="GY5" s="705"/>
      <c r="GZ5" s="705"/>
      <c r="HA5" s="705"/>
      <c r="HB5" s="705"/>
      <c r="HC5" s="705"/>
      <c r="HD5" s="705"/>
      <c r="HE5" s="705"/>
      <c r="HF5" s="705"/>
      <c r="HG5" s="705"/>
      <c r="HH5" s="705"/>
      <c r="HI5" s="705"/>
      <c r="HJ5" s="705"/>
      <c r="HK5" s="705"/>
      <c r="HL5" s="705"/>
      <c r="HM5" s="705"/>
      <c r="HN5" s="705"/>
      <c r="HO5" s="705"/>
      <c r="HP5" s="705"/>
      <c r="HQ5" s="705"/>
      <c r="HR5" s="705"/>
      <c r="HS5" s="705"/>
      <c r="HT5" s="705"/>
      <c r="HU5" s="705"/>
      <c r="HV5" s="705"/>
      <c r="HW5" s="705"/>
    </row>
    <row r="6" spans="1:231" ht="14.1" customHeight="1">
      <c r="A6" s="712" t="s">
        <v>416</v>
      </c>
      <c r="B6" s="718"/>
      <c r="C6" s="718"/>
      <c r="D6" s="700"/>
      <c r="E6" s="701"/>
      <c r="F6" s="700"/>
      <c r="G6" s="700"/>
      <c r="H6" s="700"/>
      <c r="I6" s="700"/>
      <c r="J6" s="700"/>
      <c r="K6" s="703"/>
      <c r="L6" s="704"/>
      <c r="M6" s="704"/>
      <c r="N6" s="704"/>
      <c r="O6" s="704"/>
      <c r="P6" s="704"/>
      <c r="Q6" s="704"/>
      <c r="R6" s="704"/>
      <c r="S6" s="704"/>
      <c r="T6" s="704"/>
      <c r="U6" s="704"/>
      <c r="V6" s="704"/>
      <c r="W6" s="704"/>
      <c r="X6" s="705"/>
      <c r="Y6" s="705"/>
      <c r="Z6" s="705"/>
      <c r="AA6" s="705"/>
      <c r="AB6" s="705"/>
      <c r="AC6" s="705"/>
      <c r="AD6" s="705"/>
      <c r="AE6" s="705"/>
      <c r="AF6" s="705"/>
      <c r="AG6" s="705"/>
      <c r="AH6" s="705"/>
      <c r="AI6" s="705"/>
      <c r="AJ6" s="705"/>
      <c r="AK6" s="705"/>
      <c r="AL6" s="705"/>
      <c r="AM6" s="705"/>
      <c r="AN6" s="705"/>
      <c r="AO6" s="705"/>
      <c r="AP6" s="705"/>
      <c r="AQ6" s="705"/>
      <c r="AR6" s="705"/>
      <c r="AS6" s="705"/>
      <c r="AT6" s="705"/>
      <c r="AU6" s="705"/>
      <c r="AV6" s="705"/>
      <c r="AW6" s="705"/>
      <c r="AX6" s="705"/>
      <c r="AY6" s="705"/>
      <c r="AZ6" s="705"/>
      <c r="BA6" s="705"/>
      <c r="BB6" s="705"/>
      <c r="BC6" s="705"/>
      <c r="BD6" s="705"/>
      <c r="BE6" s="705"/>
      <c r="BF6" s="705"/>
      <c r="BG6" s="705"/>
      <c r="BH6" s="705"/>
      <c r="BI6" s="705"/>
      <c r="BJ6" s="705"/>
      <c r="BK6" s="705"/>
      <c r="BL6" s="705"/>
      <c r="BM6" s="705"/>
      <c r="BN6" s="705"/>
      <c r="BO6" s="705"/>
      <c r="BP6" s="705"/>
      <c r="BQ6" s="705"/>
      <c r="BR6" s="705"/>
      <c r="BS6" s="705"/>
      <c r="BT6" s="705"/>
      <c r="BU6" s="705"/>
      <c r="BV6" s="705"/>
      <c r="BW6" s="705"/>
      <c r="BX6" s="705"/>
      <c r="BY6" s="705"/>
      <c r="BZ6" s="705"/>
      <c r="CA6" s="705"/>
      <c r="CB6" s="705"/>
      <c r="CC6" s="705"/>
      <c r="CD6" s="705"/>
      <c r="CE6" s="705"/>
      <c r="CF6" s="705"/>
      <c r="CG6" s="705"/>
      <c r="CH6" s="705"/>
      <c r="CI6" s="705"/>
      <c r="CJ6" s="705"/>
      <c r="CK6" s="705"/>
      <c r="CL6" s="705"/>
      <c r="CM6" s="705"/>
      <c r="CN6" s="705"/>
      <c r="CO6" s="705"/>
      <c r="CP6" s="705"/>
      <c r="CQ6" s="705"/>
      <c r="CR6" s="705"/>
      <c r="CS6" s="705"/>
      <c r="CT6" s="705"/>
      <c r="CU6" s="705"/>
      <c r="CV6" s="705"/>
      <c r="CW6" s="705"/>
      <c r="CX6" s="705"/>
      <c r="CY6" s="705"/>
      <c r="CZ6" s="705"/>
      <c r="DA6" s="705"/>
      <c r="DB6" s="705"/>
      <c r="DC6" s="705"/>
      <c r="DD6" s="705"/>
      <c r="DE6" s="705"/>
      <c r="DF6" s="705"/>
      <c r="DG6" s="705"/>
      <c r="DH6" s="705"/>
      <c r="DI6" s="705"/>
      <c r="DJ6" s="705"/>
      <c r="DK6" s="705"/>
      <c r="DL6" s="705"/>
      <c r="DM6" s="705"/>
      <c r="DN6" s="705"/>
      <c r="DO6" s="705"/>
      <c r="DP6" s="705"/>
      <c r="DQ6" s="705"/>
      <c r="DR6" s="705"/>
      <c r="DS6" s="705"/>
      <c r="DT6" s="705"/>
      <c r="DU6" s="705"/>
      <c r="DV6" s="705"/>
      <c r="DW6" s="705"/>
      <c r="DX6" s="705"/>
      <c r="DY6" s="705"/>
      <c r="DZ6" s="705"/>
      <c r="EA6" s="705"/>
      <c r="EB6" s="705"/>
      <c r="EC6" s="705"/>
      <c r="ED6" s="705"/>
      <c r="EE6" s="705"/>
      <c r="EF6" s="705"/>
      <c r="EG6" s="705"/>
      <c r="EH6" s="705"/>
      <c r="EI6" s="705"/>
      <c r="EJ6" s="705"/>
      <c r="EK6" s="705"/>
      <c r="EL6" s="705"/>
      <c r="EM6" s="705"/>
      <c r="EN6" s="705"/>
      <c r="EO6" s="705"/>
      <c r="EP6" s="705"/>
      <c r="EQ6" s="705"/>
      <c r="ER6" s="705"/>
      <c r="ES6" s="705"/>
      <c r="ET6" s="705"/>
      <c r="EU6" s="705"/>
      <c r="EV6" s="705"/>
      <c r="EW6" s="705"/>
      <c r="EX6" s="705"/>
      <c r="EY6" s="705"/>
      <c r="EZ6" s="705"/>
      <c r="FA6" s="705"/>
      <c r="FB6" s="705"/>
      <c r="FC6" s="705"/>
      <c r="FD6" s="705"/>
      <c r="FE6" s="705"/>
      <c r="FF6" s="705"/>
      <c r="FG6" s="705"/>
      <c r="FH6" s="705"/>
      <c r="FI6" s="705"/>
      <c r="FJ6" s="705"/>
      <c r="FK6" s="705"/>
      <c r="FL6" s="705"/>
      <c r="FM6" s="705"/>
      <c r="FN6" s="705"/>
      <c r="FO6" s="705"/>
      <c r="FP6" s="705"/>
      <c r="FQ6" s="705"/>
      <c r="FR6" s="705"/>
      <c r="FS6" s="705"/>
      <c r="FT6" s="705"/>
      <c r="FU6" s="705"/>
      <c r="FV6" s="705"/>
      <c r="FW6" s="705"/>
      <c r="FX6" s="705"/>
      <c r="FY6" s="705"/>
      <c r="FZ6" s="705"/>
      <c r="GA6" s="705"/>
      <c r="GB6" s="705"/>
      <c r="GC6" s="705"/>
      <c r="GD6" s="705"/>
      <c r="GE6" s="705"/>
      <c r="GF6" s="705"/>
      <c r="GG6" s="705"/>
      <c r="GH6" s="705"/>
      <c r="GI6" s="705"/>
      <c r="GJ6" s="705"/>
      <c r="GK6" s="705"/>
      <c r="GL6" s="705"/>
      <c r="GM6" s="705"/>
      <c r="GN6" s="705"/>
      <c r="GO6" s="705"/>
      <c r="GP6" s="705"/>
      <c r="GQ6" s="705"/>
      <c r="GR6" s="705"/>
      <c r="GS6" s="705"/>
      <c r="GT6" s="705"/>
      <c r="GU6" s="705"/>
      <c r="GV6" s="705"/>
      <c r="GW6" s="705"/>
      <c r="GX6" s="705"/>
      <c r="GY6" s="705"/>
      <c r="GZ6" s="705"/>
      <c r="HA6" s="705"/>
      <c r="HB6" s="705"/>
      <c r="HC6" s="705"/>
      <c r="HD6" s="705"/>
      <c r="HE6" s="705"/>
      <c r="HF6" s="705"/>
      <c r="HG6" s="705"/>
      <c r="HH6" s="705"/>
      <c r="HI6" s="705"/>
      <c r="HJ6" s="705"/>
      <c r="HK6" s="705"/>
      <c r="HL6" s="705"/>
      <c r="HM6" s="705"/>
      <c r="HN6" s="705"/>
      <c r="HO6" s="705"/>
      <c r="HP6" s="705"/>
      <c r="HQ6" s="705"/>
      <c r="HR6" s="705"/>
      <c r="HS6" s="705"/>
      <c r="HT6" s="705"/>
      <c r="HU6" s="705"/>
      <c r="HV6" s="705"/>
      <c r="HW6" s="705"/>
    </row>
    <row r="7" spans="1:231" ht="15.6" customHeight="1">
      <c r="A7" s="719" t="s">
        <v>417</v>
      </c>
      <c r="B7" s="720">
        <v>24580000</v>
      </c>
      <c r="C7" s="720">
        <f>ROUND(19570081.8,-3)</f>
        <v>19570000</v>
      </c>
      <c r="D7" s="700"/>
      <c r="E7" s="721">
        <f t="shared" ref="E7:E17" si="0">(C7/B7)-1</f>
        <v>-0.20382424735557358</v>
      </c>
      <c r="F7" s="722"/>
      <c r="G7" s="700"/>
      <c r="H7" s="700"/>
      <c r="I7" s="700"/>
      <c r="J7" s="700"/>
      <c r="K7" s="723"/>
      <c r="L7" s="704"/>
      <c r="M7" s="724"/>
      <c r="N7" s="704"/>
      <c r="O7" s="704"/>
      <c r="P7" s="704"/>
      <c r="Q7" s="708"/>
      <c r="R7" s="708"/>
      <c r="S7" s="708"/>
      <c r="T7" s="708"/>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5"/>
      <c r="AX7" s="705"/>
      <c r="AY7" s="705"/>
      <c r="AZ7" s="705"/>
      <c r="BA7" s="705"/>
      <c r="BB7" s="705"/>
      <c r="BC7" s="705"/>
      <c r="BD7" s="705"/>
      <c r="BE7" s="705"/>
      <c r="BF7" s="705"/>
      <c r="BG7" s="705"/>
      <c r="BH7" s="705"/>
      <c r="BI7" s="705"/>
      <c r="BJ7" s="705"/>
      <c r="BK7" s="705"/>
      <c r="BL7" s="705"/>
      <c r="BM7" s="705"/>
      <c r="BN7" s="705"/>
      <c r="BO7" s="705"/>
      <c r="BP7" s="705"/>
      <c r="BQ7" s="705"/>
      <c r="BR7" s="705"/>
      <c r="BS7" s="705"/>
      <c r="BT7" s="705"/>
      <c r="BU7" s="705"/>
      <c r="BV7" s="705"/>
      <c r="BW7" s="705"/>
      <c r="BX7" s="705"/>
      <c r="BY7" s="705"/>
      <c r="BZ7" s="705"/>
      <c r="CA7" s="705"/>
      <c r="CB7" s="705"/>
      <c r="CC7" s="705"/>
      <c r="CD7" s="705"/>
      <c r="CE7" s="705"/>
      <c r="CF7" s="705"/>
      <c r="CG7" s="705"/>
      <c r="CH7" s="705"/>
      <c r="CI7" s="705"/>
      <c r="CJ7" s="705"/>
      <c r="CK7" s="705"/>
      <c r="CL7" s="705"/>
      <c r="CM7" s="705"/>
      <c r="CN7" s="705"/>
      <c r="CO7" s="705"/>
      <c r="CP7" s="705"/>
      <c r="CQ7" s="705"/>
      <c r="CR7" s="705"/>
      <c r="CS7" s="705"/>
      <c r="CT7" s="705"/>
      <c r="CU7" s="705"/>
      <c r="CV7" s="705"/>
      <c r="CW7" s="705"/>
      <c r="CX7" s="705"/>
      <c r="CY7" s="705"/>
      <c r="CZ7" s="705"/>
      <c r="DA7" s="705"/>
      <c r="DB7" s="705"/>
      <c r="DC7" s="705"/>
      <c r="DD7" s="705"/>
      <c r="DE7" s="705"/>
      <c r="DF7" s="705"/>
      <c r="DG7" s="705"/>
      <c r="DH7" s="705"/>
      <c r="DI7" s="705"/>
      <c r="DJ7" s="705"/>
      <c r="DK7" s="705"/>
      <c r="DL7" s="705"/>
      <c r="DM7" s="705"/>
      <c r="DN7" s="705"/>
      <c r="DO7" s="705"/>
      <c r="DP7" s="705"/>
      <c r="DQ7" s="705"/>
      <c r="DR7" s="705"/>
      <c r="DS7" s="705"/>
      <c r="DT7" s="705"/>
      <c r="DU7" s="705"/>
      <c r="DV7" s="705"/>
      <c r="DW7" s="705"/>
      <c r="DX7" s="705"/>
      <c r="DY7" s="705"/>
      <c r="DZ7" s="705"/>
      <c r="EA7" s="705"/>
      <c r="EB7" s="705"/>
      <c r="EC7" s="705"/>
      <c r="ED7" s="705"/>
      <c r="EE7" s="705"/>
      <c r="EF7" s="705"/>
      <c r="EG7" s="705"/>
      <c r="EH7" s="705"/>
      <c r="EI7" s="705"/>
      <c r="EJ7" s="705"/>
      <c r="EK7" s="705"/>
      <c r="EL7" s="705"/>
      <c r="EM7" s="705"/>
      <c r="EN7" s="705"/>
      <c r="EO7" s="705"/>
      <c r="EP7" s="705"/>
      <c r="EQ7" s="705"/>
      <c r="ER7" s="705"/>
      <c r="ES7" s="705"/>
      <c r="ET7" s="705"/>
      <c r="EU7" s="705"/>
      <c r="EV7" s="705"/>
      <c r="EW7" s="705"/>
      <c r="EX7" s="705"/>
      <c r="EY7" s="705"/>
      <c r="EZ7" s="705"/>
      <c r="FA7" s="705"/>
      <c r="FB7" s="705"/>
      <c r="FC7" s="705"/>
      <c r="FD7" s="705"/>
      <c r="FE7" s="705"/>
      <c r="FF7" s="705"/>
      <c r="FG7" s="705"/>
      <c r="FH7" s="705"/>
      <c r="FI7" s="705"/>
      <c r="FJ7" s="705"/>
      <c r="FK7" s="705"/>
      <c r="FL7" s="705"/>
      <c r="FM7" s="705"/>
      <c r="FN7" s="705"/>
      <c r="FO7" s="705"/>
      <c r="FP7" s="705"/>
      <c r="FQ7" s="705"/>
      <c r="FR7" s="705"/>
      <c r="FS7" s="705"/>
      <c r="FT7" s="705"/>
      <c r="FU7" s="705"/>
      <c r="FV7" s="705"/>
      <c r="FW7" s="705"/>
      <c r="FX7" s="705"/>
      <c r="FY7" s="705"/>
      <c r="FZ7" s="705"/>
      <c r="GA7" s="705"/>
      <c r="GB7" s="705"/>
      <c r="GC7" s="705"/>
      <c r="GD7" s="705"/>
      <c r="GE7" s="705"/>
      <c r="GF7" s="705"/>
      <c r="GG7" s="705"/>
      <c r="GH7" s="705"/>
      <c r="GI7" s="705"/>
      <c r="GJ7" s="705"/>
      <c r="GK7" s="705"/>
      <c r="GL7" s="705"/>
      <c r="GM7" s="705"/>
      <c r="GN7" s="705"/>
      <c r="GO7" s="705"/>
      <c r="GP7" s="705"/>
      <c r="GQ7" s="705"/>
      <c r="GR7" s="705"/>
      <c r="GS7" s="705"/>
      <c r="GT7" s="705"/>
      <c r="GU7" s="705"/>
      <c r="GV7" s="705"/>
      <c r="GW7" s="705"/>
      <c r="GX7" s="705"/>
      <c r="GY7" s="705"/>
      <c r="GZ7" s="705"/>
      <c r="HA7" s="705"/>
      <c r="HB7" s="705"/>
      <c r="HC7" s="705"/>
      <c r="HD7" s="705"/>
      <c r="HE7" s="705"/>
      <c r="HF7" s="705"/>
      <c r="HG7" s="705"/>
      <c r="HH7" s="705"/>
      <c r="HI7" s="705"/>
      <c r="HJ7" s="705"/>
      <c r="HK7" s="705"/>
      <c r="HL7" s="705"/>
      <c r="HM7" s="705"/>
      <c r="HN7" s="705"/>
      <c r="HO7" s="705"/>
      <c r="HP7" s="705"/>
      <c r="HQ7" s="705"/>
      <c r="HR7" s="705"/>
      <c r="HS7" s="705"/>
      <c r="HT7" s="705"/>
      <c r="HU7" s="705"/>
      <c r="HV7" s="705"/>
      <c r="HW7" s="705"/>
    </row>
    <row r="8" spans="1:231" ht="15.6" customHeight="1">
      <c r="A8" s="719" t="s">
        <v>7</v>
      </c>
      <c r="B8" s="699">
        <v>822259000</v>
      </c>
      <c r="C8" s="699">
        <f>ROUND(1086390871.37-226468031.82,-3)</f>
        <v>859923000</v>
      </c>
      <c r="D8" s="700"/>
      <c r="E8" s="721">
        <f t="shared" si="0"/>
        <v>4.5805518699095993E-2</v>
      </c>
      <c r="F8" s="722"/>
      <c r="G8" s="700"/>
      <c r="H8" s="700"/>
      <c r="I8" s="700"/>
      <c r="J8" s="700"/>
      <c r="K8" s="723"/>
      <c r="L8" s="704"/>
      <c r="M8" s="724"/>
      <c r="N8" s="704"/>
      <c r="O8" s="704"/>
      <c r="P8" s="704"/>
      <c r="Q8" s="717"/>
      <c r="R8" s="717"/>
      <c r="S8" s="717"/>
      <c r="T8" s="717"/>
      <c r="Z8" s="705"/>
      <c r="AA8" s="705"/>
      <c r="AB8" s="705"/>
      <c r="AC8" s="705"/>
      <c r="AD8" s="705"/>
      <c r="AE8" s="705"/>
      <c r="AF8" s="705"/>
      <c r="AG8" s="705"/>
      <c r="AH8" s="705"/>
      <c r="AI8" s="705"/>
      <c r="AJ8" s="705"/>
      <c r="AK8" s="705"/>
      <c r="AL8" s="705"/>
      <c r="AM8" s="705"/>
      <c r="AN8" s="705"/>
      <c r="AO8" s="705"/>
      <c r="AP8" s="705"/>
      <c r="AQ8" s="705"/>
      <c r="AR8" s="705"/>
      <c r="AS8" s="705"/>
      <c r="AT8" s="705"/>
      <c r="AU8" s="705"/>
      <c r="AV8" s="705"/>
      <c r="AW8" s="705"/>
      <c r="AX8" s="705"/>
      <c r="AY8" s="705"/>
      <c r="AZ8" s="705"/>
      <c r="BA8" s="705"/>
      <c r="BB8" s="705"/>
      <c r="BC8" s="705"/>
      <c r="BD8" s="705"/>
      <c r="BE8" s="705"/>
      <c r="BF8" s="705"/>
      <c r="BG8" s="705"/>
      <c r="BH8" s="705"/>
      <c r="BI8" s="705"/>
      <c r="BJ8" s="705"/>
      <c r="BK8" s="705"/>
      <c r="BL8" s="705"/>
      <c r="BM8" s="705"/>
      <c r="BN8" s="705"/>
      <c r="BO8" s="705"/>
      <c r="BP8" s="705"/>
      <c r="BQ8" s="705"/>
      <c r="BR8" s="705"/>
      <c r="BS8" s="705"/>
      <c r="BT8" s="705"/>
      <c r="BU8" s="705"/>
      <c r="BV8" s="705"/>
      <c r="BW8" s="705"/>
      <c r="BX8" s="705"/>
      <c r="BY8" s="705"/>
      <c r="BZ8" s="705"/>
      <c r="CA8" s="705"/>
      <c r="CB8" s="705"/>
      <c r="CC8" s="705"/>
      <c r="CD8" s="705"/>
      <c r="CE8" s="705"/>
      <c r="CF8" s="705"/>
      <c r="CG8" s="705"/>
      <c r="CH8" s="705"/>
      <c r="CI8" s="705"/>
      <c r="CJ8" s="705"/>
      <c r="CK8" s="705"/>
      <c r="CL8" s="705"/>
      <c r="CM8" s="705"/>
      <c r="CN8" s="705"/>
      <c r="CO8" s="705"/>
      <c r="CP8" s="705"/>
      <c r="CQ8" s="705"/>
      <c r="CR8" s="705"/>
      <c r="CS8" s="705"/>
      <c r="CT8" s="705"/>
      <c r="CU8" s="705"/>
      <c r="CV8" s="705"/>
      <c r="CW8" s="705"/>
      <c r="CX8" s="705"/>
      <c r="CY8" s="705"/>
      <c r="CZ8" s="705"/>
      <c r="DA8" s="705"/>
      <c r="DB8" s="705"/>
      <c r="DC8" s="705"/>
      <c r="DD8" s="705"/>
      <c r="DE8" s="705"/>
      <c r="DF8" s="705"/>
      <c r="DG8" s="705"/>
      <c r="DH8" s="705"/>
      <c r="DI8" s="705"/>
      <c r="DJ8" s="705"/>
      <c r="DK8" s="705"/>
      <c r="DL8" s="705"/>
      <c r="DM8" s="705"/>
      <c r="DN8" s="705"/>
      <c r="DO8" s="705"/>
      <c r="DP8" s="705"/>
      <c r="DQ8" s="705"/>
      <c r="DR8" s="705"/>
      <c r="DS8" s="705"/>
      <c r="DT8" s="705"/>
      <c r="DU8" s="705"/>
      <c r="DV8" s="705"/>
      <c r="DW8" s="705"/>
      <c r="DX8" s="705"/>
      <c r="DY8" s="705"/>
      <c r="DZ8" s="705"/>
      <c r="EA8" s="705"/>
      <c r="EB8" s="705"/>
      <c r="EC8" s="705"/>
      <c r="ED8" s="705"/>
      <c r="EE8" s="705"/>
      <c r="EF8" s="705"/>
      <c r="EG8" s="705"/>
      <c r="EH8" s="705"/>
      <c r="EI8" s="705"/>
      <c r="EJ8" s="705"/>
      <c r="EK8" s="705"/>
      <c r="EL8" s="705"/>
      <c r="EM8" s="705"/>
      <c r="EN8" s="705"/>
      <c r="EO8" s="705"/>
      <c r="EP8" s="705"/>
      <c r="EQ8" s="705"/>
      <c r="ER8" s="705"/>
      <c r="ES8" s="705"/>
      <c r="ET8" s="705"/>
      <c r="EU8" s="705"/>
      <c r="EV8" s="705"/>
      <c r="EW8" s="705"/>
      <c r="EX8" s="705"/>
      <c r="EY8" s="705"/>
      <c r="EZ8" s="705"/>
      <c r="FA8" s="705"/>
      <c r="FB8" s="705"/>
      <c r="FC8" s="705"/>
      <c r="FD8" s="705"/>
      <c r="FE8" s="705"/>
      <c r="FF8" s="705"/>
      <c r="FG8" s="705"/>
      <c r="FH8" s="705"/>
      <c r="FI8" s="705"/>
      <c r="FJ8" s="705"/>
      <c r="FK8" s="705"/>
      <c r="FL8" s="705"/>
      <c r="FM8" s="705"/>
      <c r="FN8" s="705"/>
      <c r="FO8" s="705"/>
      <c r="FP8" s="705"/>
      <c r="FQ8" s="705"/>
      <c r="FR8" s="705"/>
      <c r="FS8" s="705"/>
      <c r="FT8" s="705"/>
      <c r="FU8" s="705"/>
      <c r="FV8" s="705"/>
      <c r="FW8" s="705"/>
      <c r="FX8" s="705"/>
      <c r="FY8" s="705"/>
      <c r="FZ8" s="705"/>
      <c r="GA8" s="705"/>
      <c r="GB8" s="705"/>
      <c r="GC8" s="705"/>
      <c r="GD8" s="705"/>
      <c r="GE8" s="705"/>
      <c r="GF8" s="705"/>
      <c r="GG8" s="705"/>
      <c r="GH8" s="705"/>
      <c r="GI8" s="705"/>
      <c r="GJ8" s="705"/>
      <c r="GK8" s="705"/>
      <c r="GL8" s="705"/>
      <c r="GM8" s="705"/>
      <c r="GN8" s="705"/>
      <c r="GO8" s="705"/>
      <c r="GP8" s="705"/>
      <c r="GQ8" s="705"/>
      <c r="GR8" s="705"/>
      <c r="GS8" s="705"/>
      <c r="GT8" s="705"/>
      <c r="GU8" s="705"/>
      <c r="GV8" s="705"/>
      <c r="GW8" s="705"/>
      <c r="GX8" s="705"/>
      <c r="GY8" s="705"/>
      <c r="GZ8" s="705"/>
      <c r="HA8" s="705"/>
      <c r="HB8" s="705"/>
      <c r="HC8" s="705"/>
      <c r="HD8" s="705"/>
      <c r="HE8" s="705"/>
      <c r="HF8" s="705"/>
      <c r="HG8" s="705"/>
      <c r="HH8" s="705"/>
      <c r="HI8" s="705"/>
      <c r="HJ8" s="705"/>
      <c r="HK8" s="705"/>
      <c r="HL8" s="705"/>
      <c r="HM8" s="705"/>
      <c r="HN8" s="705"/>
      <c r="HO8" s="705"/>
      <c r="HP8" s="705"/>
      <c r="HQ8" s="705"/>
      <c r="HR8" s="705"/>
      <c r="HS8" s="705"/>
      <c r="HT8" s="705"/>
      <c r="HU8" s="705"/>
      <c r="HV8" s="705"/>
      <c r="HW8" s="705"/>
    </row>
    <row r="9" spans="1:231" ht="15.6" customHeight="1">
      <c r="A9" s="719" t="s">
        <v>8</v>
      </c>
      <c r="B9" s="699">
        <v>9944370000</v>
      </c>
      <c r="C9" s="985">
        <f>ROUND(172286394.45+3640493.11+35852202.57+-26+7238+117821188.18+79948929.44+-977964834.08+1087261099.7+9850978256.65+150098122.19+92907050.49,-3)</f>
        <v>10612836000</v>
      </c>
      <c r="D9" s="700"/>
      <c r="E9" s="721">
        <f t="shared" si="0"/>
        <v>6.7220547908012351E-2</v>
      </c>
      <c r="F9" s="722"/>
      <c r="G9" s="700"/>
      <c r="H9" s="700"/>
      <c r="I9" s="700"/>
      <c r="J9" s="700"/>
      <c r="K9" s="723"/>
      <c r="L9" s="704"/>
      <c r="M9" s="724"/>
      <c r="N9" s="704"/>
      <c r="O9" s="704"/>
      <c r="P9" s="704"/>
      <c r="Q9" s="717"/>
      <c r="R9" s="717"/>
      <c r="S9" s="717"/>
      <c r="T9" s="717"/>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705"/>
      <c r="AX9" s="705"/>
      <c r="AY9" s="705"/>
      <c r="AZ9" s="705"/>
      <c r="BA9" s="705"/>
      <c r="BB9" s="705"/>
      <c r="BC9" s="705"/>
      <c r="BD9" s="705"/>
      <c r="BE9" s="705"/>
      <c r="BF9" s="705"/>
      <c r="BG9" s="705"/>
      <c r="BH9" s="705"/>
      <c r="BI9" s="705"/>
      <c r="BJ9" s="705"/>
      <c r="BK9" s="705"/>
      <c r="BL9" s="705"/>
      <c r="BM9" s="705"/>
      <c r="BN9" s="705"/>
      <c r="BO9" s="705"/>
      <c r="BP9" s="705"/>
      <c r="BQ9" s="705"/>
      <c r="BR9" s="705"/>
      <c r="BS9" s="705"/>
      <c r="BT9" s="705"/>
      <c r="BU9" s="705"/>
      <c r="BV9" s="705"/>
      <c r="BW9" s="705"/>
      <c r="BX9" s="705"/>
      <c r="BY9" s="705"/>
      <c r="BZ9" s="705"/>
      <c r="CA9" s="705"/>
      <c r="CB9" s="705"/>
      <c r="CC9" s="705"/>
      <c r="CD9" s="705"/>
      <c r="CE9" s="705"/>
      <c r="CF9" s="705"/>
      <c r="CG9" s="705"/>
      <c r="CH9" s="705"/>
      <c r="CI9" s="705"/>
      <c r="CJ9" s="705"/>
      <c r="CK9" s="705"/>
      <c r="CL9" s="705"/>
      <c r="CM9" s="705"/>
      <c r="CN9" s="705"/>
      <c r="CO9" s="705"/>
      <c r="CP9" s="705"/>
      <c r="CQ9" s="705"/>
      <c r="CR9" s="705"/>
      <c r="CS9" s="705"/>
      <c r="CT9" s="705"/>
      <c r="CU9" s="705"/>
      <c r="CV9" s="705"/>
      <c r="CW9" s="705"/>
      <c r="CX9" s="705"/>
      <c r="CY9" s="705"/>
      <c r="CZ9" s="705"/>
      <c r="DA9" s="705"/>
      <c r="DB9" s="705"/>
      <c r="DC9" s="705"/>
      <c r="DD9" s="705"/>
      <c r="DE9" s="705"/>
      <c r="DF9" s="705"/>
      <c r="DG9" s="705"/>
      <c r="DH9" s="705"/>
      <c r="DI9" s="705"/>
      <c r="DJ9" s="705"/>
      <c r="DK9" s="705"/>
      <c r="DL9" s="705"/>
      <c r="DM9" s="705"/>
      <c r="DN9" s="705"/>
      <c r="DO9" s="705"/>
      <c r="DP9" s="705"/>
      <c r="DQ9" s="705"/>
      <c r="DR9" s="705"/>
      <c r="DS9" s="705"/>
      <c r="DT9" s="705"/>
      <c r="DU9" s="705"/>
      <c r="DV9" s="705"/>
      <c r="DW9" s="705"/>
      <c r="DX9" s="705"/>
      <c r="DY9" s="705"/>
      <c r="DZ9" s="705"/>
      <c r="EA9" s="705"/>
      <c r="EB9" s="705"/>
      <c r="EC9" s="705"/>
      <c r="ED9" s="705"/>
      <c r="EE9" s="705"/>
      <c r="EF9" s="705"/>
      <c r="EG9" s="705"/>
      <c r="EH9" s="705"/>
      <c r="EI9" s="705"/>
      <c r="EJ9" s="705"/>
      <c r="EK9" s="705"/>
      <c r="EL9" s="705"/>
      <c r="EM9" s="705"/>
      <c r="EN9" s="705"/>
      <c r="EO9" s="705"/>
      <c r="EP9" s="705"/>
      <c r="EQ9" s="705"/>
      <c r="ER9" s="705"/>
      <c r="ES9" s="705"/>
      <c r="ET9" s="705"/>
      <c r="EU9" s="705"/>
      <c r="EV9" s="705"/>
      <c r="EW9" s="705"/>
      <c r="EX9" s="705"/>
      <c r="EY9" s="705"/>
      <c r="EZ9" s="705"/>
      <c r="FA9" s="705"/>
      <c r="FB9" s="705"/>
      <c r="FC9" s="705"/>
      <c r="FD9" s="705"/>
      <c r="FE9" s="705"/>
      <c r="FF9" s="705"/>
      <c r="FG9" s="705"/>
      <c r="FH9" s="705"/>
      <c r="FI9" s="705"/>
      <c r="FJ9" s="705"/>
      <c r="FK9" s="705"/>
      <c r="FL9" s="705"/>
      <c r="FM9" s="705"/>
      <c r="FN9" s="705"/>
      <c r="FO9" s="705"/>
      <c r="FP9" s="705"/>
      <c r="FQ9" s="705"/>
      <c r="FR9" s="705"/>
      <c r="FS9" s="705"/>
      <c r="FT9" s="705"/>
      <c r="FU9" s="705"/>
      <c r="FV9" s="705"/>
      <c r="FW9" s="705"/>
      <c r="FX9" s="705"/>
      <c r="FY9" s="705"/>
      <c r="FZ9" s="705"/>
      <c r="GA9" s="705"/>
      <c r="GB9" s="705"/>
      <c r="GC9" s="705"/>
      <c r="GD9" s="705"/>
      <c r="GE9" s="705"/>
      <c r="GF9" s="705"/>
      <c r="GG9" s="705"/>
      <c r="GH9" s="705"/>
      <c r="GI9" s="705"/>
      <c r="GJ9" s="705"/>
      <c r="GK9" s="705"/>
      <c r="GL9" s="705"/>
      <c r="GM9" s="705"/>
      <c r="GN9" s="705"/>
      <c r="GO9" s="705"/>
      <c r="GP9" s="705"/>
      <c r="GQ9" s="705"/>
      <c r="GR9" s="705"/>
      <c r="GS9" s="705"/>
      <c r="GT9" s="705"/>
      <c r="GU9" s="705"/>
      <c r="GV9" s="705"/>
      <c r="GW9" s="705"/>
      <c r="GX9" s="705"/>
      <c r="GY9" s="705"/>
      <c r="GZ9" s="705"/>
      <c r="HA9" s="705"/>
      <c r="HB9" s="705"/>
      <c r="HC9" s="705"/>
      <c r="HD9" s="705"/>
      <c r="HE9" s="705"/>
      <c r="HF9" s="705"/>
      <c r="HG9" s="705"/>
      <c r="HH9" s="705"/>
      <c r="HI9" s="705"/>
      <c r="HJ9" s="705"/>
      <c r="HK9" s="705"/>
      <c r="HL9" s="705"/>
      <c r="HM9" s="705"/>
      <c r="HN9" s="705"/>
      <c r="HO9" s="705"/>
      <c r="HP9" s="705"/>
      <c r="HQ9" s="705"/>
      <c r="HR9" s="705"/>
      <c r="HS9" s="705"/>
      <c r="HT9" s="705"/>
      <c r="HU9" s="705"/>
      <c r="HV9" s="705"/>
      <c r="HW9" s="705"/>
    </row>
    <row r="10" spans="1:231" ht="15.6" customHeight="1">
      <c r="A10" s="719" t="s">
        <v>418</v>
      </c>
      <c r="B10" s="699">
        <v>2713000</v>
      </c>
      <c r="C10" s="699">
        <f>ROUND(81746.01+216589.41,-3)</f>
        <v>298000</v>
      </c>
      <c r="D10" s="700"/>
      <c r="E10" s="721">
        <f t="shared" si="0"/>
        <v>-0.89015849612974562</v>
      </c>
      <c r="F10" s="722"/>
      <c r="G10" s="700"/>
      <c r="H10" s="700"/>
      <c r="I10" s="700"/>
      <c r="J10" s="700"/>
      <c r="K10" s="723"/>
      <c r="L10" s="704"/>
      <c r="M10" s="724"/>
      <c r="N10" s="704"/>
      <c r="O10" s="704"/>
      <c r="P10" s="704"/>
      <c r="T10" s="717"/>
      <c r="U10" s="704"/>
      <c r="V10" s="704"/>
      <c r="W10" s="704"/>
      <c r="X10" s="705"/>
      <c r="Y10" s="705"/>
      <c r="Z10" s="705"/>
      <c r="AA10" s="705"/>
      <c r="AB10" s="705"/>
      <c r="AC10" s="705"/>
      <c r="AD10" s="705"/>
      <c r="AE10" s="705"/>
      <c r="AF10" s="705"/>
      <c r="AG10" s="705"/>
      <c r="AH10" s="705"/>
      <c r="AI10" s="705"/>
      <c r="AJ10" s="705"/>
      <c r="AK10" s="705"/>
      <c r="AL10" s="705"/>
      <c r="AM10" s="705"/>
      <c r="AN10" s="705"/>
      <c r="AO10" s="705"/>
      <c r="AP10" s="705"/>
      <c r="AQ10" s="705"/>
      <c r="AR10" s="705"/>
      <c r="AS10" s="705"/>
      <c r="AT10" s="705"/>
      <c r="AU10" s="705"/>
      <c r="AV10" s="705"/>
      <c r="AW10" s="705"/>
      <c r="AX10" s="705"/>
      <c r="AY10" s="705"/>
      <c r="AZ10" s="705"/>
      <c r="BA10" s="705"/>
      <c r="BB10" s="705"/>
      <c r="BC10" s="705"/>
      <c r="BD10" s="705"/>
      <c r="BE10" s="705"/>
      <c r="BF10" s="705"/>
      <c r="BG10" s="705"/>
      <c r="BH10" s="705"/>
      <c r="BI10" s="705"/>
      <c r="BJ10" s="705"/>
      <c r="BK10" s="705"/>
      <c r="BL10" s="705"/>
      <c r="BM10" s="705"/>
      <c r="BN10" s="705"/>
      <c r="BO10" s="705"/>
      <c r="BP10" s="705"/>
      <c r="BQ10" s="705"/>
      <c r="BR10" s="705"/>
      <c r="BS10" s="705"/>
      <c r="BT10" s="705"/>
      <c r="BU10" s="705"/>
      <c r="BV10" s="705"/>
      <c r="BW10" s="705"/>
      <c r="BX10" s="705"/>
      <c r="BY10" s="705"/>
      <c r="BZ10" s="705"/>
      <c r="CA10" s="705"/>
      <c r="CB10" s="705"/>
      <c r="CC10" s="705"/>
      <c r="CD10" s="705"/>
      <c r="CE10" s="705"/>
      <c r="CF10" s="705"/>
      <c r="CG10" s="705"/>
      <c r="CH10" s="705"/>
      <c r="CI10" s="705"/>
      <c r="CJ10" s="705"/>
      <c r="CK10" s="705"/>
      <c r="CL10" s="705"/>
      <c r="CM10" s="705"/>
      <c r="CN10" s="705"/>
      <c r="CO10" s="705"/>
      <c r="CP10" s="705"/>
      <c r="CQ10" s="705"/>
      <c r="CR10" s="705"/>
      <c r="CS10" s="705"/>
      <c r="CT10" s="705"/>
      <c r="CU10" s="705"/>
      <c r="CV10" s="705"/>
      <c r="CW10" s="705"/>
      <c r="CX10" s="705"/>
      <c r="CY10" s="705"/>
      <c r="CZ10" s="705"/>
      <c r="DA10" s="705"/>
      <c r="DB10" s="705"/>
      <c r="DC10" s="705"/>
      <c r="DD10" s="705"/>
      <c r="DE10" s="705"/>
      <c r="DF10" s="705"/>
      <c r="DG10" s="705"/>
      <c r="DH10" s="705"/>
      <c r="DI10" s="705"/>
      <c r="DJ10" s="705"/>
      <c r="DK10" s="705"/>
      <c r="DL10" s="705"/>
      <c r="DM10" s="705"/>
      <c r="DN10" s="705"/>
      <c r="DO10" s="705"/>
      <c r="DP10" s="705"/>
      <c r="DQ10" s="705"/>
      <c r="DR10" s="705"/>
      <c r="DS10" s="705"/>
      <c r="DT10" s="705"/>
      <c r="DU10" s="705"/>
      <c r="DV10" s="705"/>
      <c r="DW10" s="705"/>
      <c r="DX10" s="705"/>
      <c r="DY10" s="705"/>
      <c r="DZ10" s="705"/>
      <c r="EA10" s="705"/>
      <c r="EB10" s="705"/>
      <c r="EC10" s="705"/>
      <c r="ED10" s="705"/>
      <c r="EE10" s="705"/>
      <c r="EF10" s="705"/>
      <c r="EG10" s="705"/>
      <c r="EH10" s="705"/>
      <c r="EI10" s="705"/>
      <c r="EJ10" s="705"/>
      <c r="EK10" s="705"/>
      <c r="EL10" s="705"/>
      <c r="EM10" s="705"/>
      <c r="EN10" s="705"/>
      <c r="EO10" s="705"/>
      <c r="EP10" s="705"/>
      <c r="EQ10" s="705"/>
      <c r="ER10" s="705"/>
      <c r="ES10" s="705"/>
      <c r="ET10" s="705"/>
      <c r="EU10" s="705"/>
      <c r="EV10" s="705"/>
      <c r="EW10" s="705"/>
      <c r="EX10" s="705"/>
      <c r="EY10" s="705"/>
      <c r="EZ10" s="705"/>
      <c r="FA10" s="705"/>
      <c r="FB10" s="705"/>
      <c r="FC10" s="705"/>
      <c r="FD10" s="705"/>
      <c r="FE10" s="705"/>
      <c r="FF10" s="705"/>
      <c r="FG10" s="705"/>
      <c r="FH10" s="705"/>
      <c r="FI10" s="705"/>
      <c r="FJ10" s="705"/>
      <c r="FK10" s="705"/>
      <c r="FL10" s="705"/>
      <c r="FM10" s="705"/>
      <c r="FN10" s="705"/>
      <c r="FO10" s="705"/>
      <c r="FP10" s="705"/>
      <c r="FQ10" s="705"/>
      <c r="FR10" s="705"/>
      <c r="FS10" s="705"/>
      <c r="FT10" s="705"/>
      <c r="FU10" s="705"/>
      <c r="FV10" s="705"/>
      <c r="FW10" s="705"/>
      <c r="FX10" s="705"/>
      <c r="FY10" s="705"/>
      <c r="FZ10" s="705"/>
      <c r="GA10" s="705"/>
      <c r="GB10" s="705"/>
      <c r="GC10" s="705"/>
      <c r="GD10" s="705"/>
      <c r="GE10" s="705"/>
      <c r="GF10" s="705"/>
      <c r="GG10" s="705"/>
      <c r="GH10" s="705"/>
      <c r="GI10" s="705"/>
      <c r="GJ10" s="705"/>
      <c r="GK10" s="705"/>
      <c r="GL10" s="705"/>
      <c r="GM10" s="705"/>
      <c r="GN10" s="705"/>
      <c r="GO10" s="705"/>
      <c r="GP10" s="705"/>
      <c r="GQ10" s="705"/>
      <c r="GR10" s="705"/>
      <c r="GS10" s="705"/>
      <c r="GT10" s="705"/>
      <c r="GU10" s="705"/>
      <c r="GV10" s="705"/>
      <c r="GW10" s="705"/>
      <c r="GX10" s="705"/>
      <c r="GY10" s="705"/>
      <c r="GZ10" s="705"/>
      <c r="HA10" s="705"/>
      <c r="HB10" s="705"/>
      <c r="HC10" s="705"/>
      <c r="HD10" s="705"/>
      <c r="HE10" s="705"/>
      <c r="HF10" s="705"/>
      <c r="HG10" s="705"/>
      <c r="HH10" s="705"/>
      <c r="HI10" s="705"/>
      <c r="HJ10" s="705"/>
      <c r="HK10" s="705"/>
      <c r="HL10" s="705"/>
      <c r="HM10" s="705"/>
      <c r="HN10" s="705"/>
      <c r="HO10" s="705"/>
      <c r="HP10" s="705"/>
      <c r="HQ10" s="705"/>
      <c r="HR10" s="705"/>
      <c r="HS10" s="705"/>
      <c r="HT10" s="705"/>
      <c r="HU10" s="705"/>
      <c r="HV10" s="705"/>
      <c r="HW10" s="705"/>
    </row>
    <row r="11" spans="1:231" ht="15.6" customHeight="1">
      <c r="A11" s="719" t="s">
        <v>419</v>
      </c>
      <c r="B11" s="699">
        <v>276572000</v>
      </c>
      <c r="C11" s="699">
        <f>ROUND(23768885.04+283380301.74,-3)</f>
        <v>307149000</v>
      </c>
      <c r="D11" s="700"/>
      <c r="E11" s="721">
        <f t="shared" si="0"/>
        <v>0.11055710628697057</v>
      </c>
      <c r="F11" s="722"/>
      <c r="G11" s="700"/>
      <c r="H11" s="700"/>
      <c r="I11" s="700"/>
      <c r="J11" s="700"/>
      <c r="K11" s="723"/>
      <c r="L11" s="704"/>
      <c r="M11" s="724"/>
      <c r="N11" s="704"/>
      <c r="O11" s="704"/>
      <c r="P11" s="704"/>
      <c r="Q11" s="704"/>
      <c r="R11" s="704"/>
      <c r="S11" s="704"/>
      <c r="T11" s="704"/>
      <c r="U11" s="704"/>
      <c r="V11" s="704"/>
      <c r="W11" s="704"/>
      <c r="X11" s="705"/>
      <c r="Y11" s="705"/>
      <c r="Z11" s="705"/>
      <c r="AA11" s="705"/>
      <c r="AB11" s="705"/>
      <c r="AC11" s="705"/>
      <c r="AD11" s="705"/>
      <c r="AE11" s="705"/>
      <c r="AF11" s="705"/>
      <c r="AG11" s="705"/>
      <c r="AH11" s="705"/>
      <c r="AI11" s="705"/>
      <c r="AJ11" s="705"/>
      <c r="AK11" s="705"/>
      <c r="AL11" s="705"/>
      <c r="AM11" s="705"/>
      <c r="AN11" s="705"/>
      <c r="AO11" s="705"/>
      <c r="AP11" s="705"/>
      <c r="AQ11" s="705"/>
      <c r="AR11" s="705"/>
      <c r="AS11" s="705"/>
      <c r="AT11" s="705"/>
      <c r="AU11" s="705"/>
      <c r="AV11" s="705"/>
      <c r="AW11" s="705"/>
      <c r="AX11" s="705"/>
      <c r="AY11" s="705"/>
      <c r="AZ11" s="705"/>
      <c r="BA11" s="705"/>
      <c r="BB11" s="705"/>
      <c r="BC11" s="705"/>
      <c r="BD11" s="705"/>
      <c r="BE11" s="705"/>
      <c r="BF11" s="705"/>
      <c r="BG11" s="705"/>
      <c r="BH11" s="705"/>
      <c r="BI11" s="705"/>
      <c r="BJ11" s="705"/>
      <c r="BK11" s="705"/>
      <c r="BL11" s="705"/>
      <c r="BM11" s="705"/>
      <c r="BN11" s="705"/>
      <c r="BO11" s="705"/>
      <c r="BP11" s="705"/>
      <c r="BQ11" s="705"/>
      <c r="BR11" s="705"/>
      <c r="BS11" s="705"/>
      <c r="BT11" s="705"/>
      <c r="BU11" s="705"/>
      <c r="BV11" s="705"/>
      <c r="BW11" s="705"/>
      <c r="BX11" s="705"/>
      <c r="BY11" s="705"/>
      <c r="BZ11" s="705"/>
      <c r="CA11" s="705"/>
      <c r="CB11" s="705"/>
      <c r="CC11" s="705"/>
      <c r="CD11" s="705"/>
      <c r="CE11" s="705"/>
      <c r="CF11" s="705"/>
      <c r="CG11" s="705"/>
      <c r="CH11" s="705"/>
      <c r="CI11" s="705"/>
      <c r="CJ11" s="705"/>
      <c r="CK11" s="705"/>
      <c r="CL11" s="705"/>
      <c r="CM11" s="705"/>
      <c r="CN11" s="705"/>
      <c r="CO11" s="705"/>
      <c r="CP11" s="705"/>
      <c r="CQ11" s="705"/>
      <c r="CR11" s="705"/>
      <c r="CS11" s="705"/>
      <c r="CT11" s="705"/>
      <c r="CU11" s="705"/>
      <c r="CV11" s="705"/>
      <c r="CW11" s="705"/>
      <c r="CX11" s="705"/>
      <c r="CY11" s="705"/>
      <c r="CZ11" s="705"/>
      <c r="DA11" s="705"/>
      <c r="DB11" s="705"/>
      <c r="DC11" s="705"/>
      <c r="DD11" s="705"/>
      <c r="DE11" s="705"/>
      <c r="DF11" s="705"/>
      <c r="DG11" s="705"/>
      <c r="DH11" s="705"/>
      <c r="DI11" s="705"/>
      <c r="DJ11" s="705"/>
      <c r="DK11" s="705"/>
      <c r="DL11" s="705"/>
      <c r="DM11" s="705"/>
      <c r="DN11" s="705"/>
      <c r="DO11" s="705"/>
      <c r="DP11" s="705"/>
      <c r="DQ11" s="705"/>
      <c r="DR11" s="705"/>
      <c r="DS11" s="705"/>
      <c r="DT11" s="705"/>
      <c r="DU11" s="705"/>
      <c r="DV11" s="705"/>
      <c r="DW11" s="705"/>
      <c r="DX11" s="705"/>
      <c r="DY11" s="705"/>
      <c r="DZ11" s="705"/>
      <c r="EA11" s="705"/>
      <c r="EB11" s="705"/>
      <c r="EC11" s="705"/>
      <c r="ED11" s="705"/>
      <c r="EE11" s="705"/>
      <c r="EF11" s="705"/>
      <c r="EG11" s="705"/>
      <c r="EH11" s="705"/>
      <c r="EI11" s="705"/>
      <c r="EJ11" s="705"/>
      <c r="EK11" s="705"/>
      <c r="EL11" s="705"/>
      <c r="EM11" s="705"/>
      <c r="EN11" s="705"/>
      <c r="EO11" s="705"/>
      <c r="EP11" s="705"/>
      <c r="EQ11" s="705"/>
      <c r="ER11" s="705"/>
      <c r="ES11" s="705"/>
      <c r="ET11" s="705"/>
      <c r="EU11" s="705"/>
      <c r="EV11" s="705"/>
      <c r="EW11" s="705"/>
      <c r="EX11" s="705"/>
      <c r="EY11" s="705"/>
      <c r="EZ11" s="705"/>
      <c r="FA11" s="705"/>
      <c r="FB11" s="705"/>
      <c r="FC11" s="705"/>
      <c r="FD11" s="705"/>
      <c r="FE11" s="705"/>
      <c r="FF11" s="705"/>
      <c r="FG11" s="705"/>
      <c r="FH11" s="705"/>
      <c r="FI11" s="705"/>
      <c r="FJ11" s="705"/>
      <c r="FK11" s="705"/>
      <c r="FL11" s="705"/>
      <c r="FM11" s="705"/>
      <c r="FN11" s="705"/>
      <c r="FO11" s="705"/>
      <c r="FP11" s="705"/>
      <c r="FQ11" s="705"/>
      <c r="FR11" s="705"/>
      <c r="FS11" s="705"/>
      <c r="FT11" s="705"/>
      <c r="FU11" s="705"/>
      <c r="FV11" s="705"/>
      <c r="FW11" s="705"/>
      <c r="FX11" s="705"/>
      <c r="FY11" s="705"/>
      <c r="FZ11" s="705"/>
      <c r="GA11" s="705"/>
      <c r="GB11" s="705"/>
      <c r="GC11" s="705"/>
      <c r="GD11" s="705"/>
      <c r="GE11" s="705"/>
      <c r="GF11" s="705"/>
      <c r="GG11" s="705"/>
      <c r="GH11" s="705"/>
      <c r="GI11" s="705"/>
      <c r="GJ11" s="705"/>
      <c r="GK11" s="705"/>
      <c r="GL11" s="705"/>
      <c r="GM11" s="705"/>
      <c r="GN11" s="705"/>
      <c r="GO11" s="705"/>
      <c r="GP11" s="705"/>
      <c r="GQ11" s="705"/>
      <c r="GR11" s="705"/>
      <c r="GS11" s="705"/>
      <c r="GT11" s="705"/>
      <c r="GU11" s="705"/>
      <c r="GV11" s="705"/>
      <c r="GW11" s="705"/>
      <c r="GX11" s="705"/>
      <c r="GY11" s="705"/>
      <c r="GZ11" s="705"/>
      <c r="HA11" s="705"/>
      <c r="HB11" s="705"/>
      <c r="HC11" s="705"/>
      <c r="HD11" s="705"/>
      <c r="HE11" s="705"/>
      <c r="HF11" s="705"/>
      <c r="HG11" s="705"/>
      <c r="HH11" s="705"/>
      <c r="HI11" s="705"/>
      <c r="HJ11" s="705"/>
      <c r="HK11" s="705"/>
      <c r="HL11" s="705"/>
      <c r="HM11" s="705"/>
      <c r="HN11" s="705"/>
      <c r="HO11" s="705"/>
      <c r="HP11" s="705"/>
      <c r="HQ11" s="705"/>
      <c r="HR11" s="705"/>
      <c r="HS11" s="705"/>
      <c r="HT11" s="705"/>
      <c r="HU11" s="705"/>
      <c r="HV11" s="705"/>
      <c r="HW11" s="705"/>
    </row>
    <row r="12" spans="1:231" ht="15.6" customHeight="1">
      <c r="A12" s="719" t="s">
        <v>420</v>
      </c>
      <c r="B12" s="699">
        <v>6176000</v>
      </c>
      <c r="C12" s="699">
        <f>ROUND(5657361.58+0+596716.79,-3)</f>
        <v>6254000</v>
      </c>
      <c r="D12" s="700"/>
      <c r="E12" s="721">
        <f t="shared" si="0"/>
        <v>1.2629533678756522E-2</v>
      </c>
      <c r="F12" s="722"/>
      <c r="G12" s="700"/>
      <c r="H12" s="700"/>
      <c r="I12" s="700"/>
      <c r="J12" s="700"/>
      <c r="K12" s="723"/>
      <c r="L12" s="704"/>
      <c r="M12" s="724"/>
      <c r="N12" s="704"/>
      <c r="O12" s="704"/>
      <c r="P12" s="704"/>
      <c r="Q12" s="717"/>
      <c r="R12" s="704"/>
      <c r="S12" s="704"/>
      <c r="T12" s="704"/>
      <c r="U12" s="704"/>
      <c r="V12" s="704"/>
      <c r="W12" s="704"/>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5"/>
      <c r="AY12" s="705"/>
      <c r="AZ12" s="705"/>
      <c r="BA12" s="705"/>
      <c r="BB12" s="705"/>
      <c r="BC12" s="705"/>
      <c r="BD12" s="705"/>
      <c r="BE12" s="705"/>
      <c r="BF12" s="705"/>
      <c r="BG12" s="705"/>
      <c r="BH12" s="705"/>
      <c r="BI12" s="705"/>
      <c r="BJ12" s="705"/>
      <c r="BK12" s="705"/>
      <c r="BL12" s="705"/>
      <c r="BM12" s="705"/>
      <c r="BN12" s="705"/>
      <c r="BO12" s="705"/>
      <c r="BP12" s="705"/>
      <c r="BQ12" s="705"/>
      <c r="BR12" s="705"/>
      <c r="BS12" s="705"/>
      <c r="BT12" s="705"/>
      <c r="BU12" s="705"/>
      <c r="BV12" s="705"/>
      <c r="BW12" s="705"/>
      <c r="BX12" s="705"/>
      <c r="BY12" s="705"/>
      <c r="BZ12" s="705"/>
      <c r="CA12" s="705"/>
      <c r="CB12" s="705"/>
      <c r="CC12" s="705"/>
      <c r="CD12" s="705"/>
      <c r="CE12" s="705"/>
      <c r="CF12" s="705"/>
      <c r="CG12" s="705"/>
      <c r="CH12" s="705"/>
      <c r="CI12" s="705"/>
      <c r="CJ12" s="705"/>
      <c r="CK12" s="705"/>
      <c r="CL12" s="705"/>
      <c r="CM12" s="705"/>
      <c r="CN12" s="705"/>
      <c r="CO12" s="705"/>
      <c r="CP12" s="705"/>
      <c r="CQ12" s="705"/>
      <c r="CR12" s="705"/>
      <c r="CS12" s="705"/>
      <c r="CT12" s="705"/>
      <c r="CU12" s="705"/>
      <c r="CV12" s="705"/>
      <c r="CW12" s="705"/>
      <c r="CX12" s="705"/>
      <c r="CY12" s="705"/>
      <c r="CZ12" s="705"/>
      <c r="DA12" s="705"/>
      <c r="DB12" s="705"/>
      <c r="DC12" s="705"/>
      <c r="DD12" s="705"/>
      <c r="DE12" s="705"/>
      <c r="DF12" s="705"/>
      <c r="DG12" s="705"/>
      <c r="DH12" s="705"/>
      <c r="DI12" s="705"/>
      <c r="DJ12" s="705"/>
      <c r="DK12" s="705"/>
      <c r="DL12" s="705"/>
      <c r="DM12" s="705"/>
      <c r="DN12" s="705"/>
      <c r="DO12" s="705"/>
      <c r="DP12" s="705"/>
      <c r="DQ12" s="705"/>
      <c r="DR12" s="705"/>
      <c r="DS12" s="705"/>
      <c r="DT12" s="705"/>
      <c r="DU12" s="705"/>
      <c r="DV12" s="705"/>
      <c r="DW12" s="705"/>
      <c r="DX12" s="705"/>
      <c r="DY12" s="705"/>
      <c r="DZ12" s="705"/>
      <c r="EA12" s="705"/>
      <c r="EB12" s="705"/>
      <c r="EC12" s="705"/>
      <c r="ED12" s="705"/>
      <c r="EE12" s="705"/>
      <c r="EF12" s="705"/>
      <c r="EG12" s="705"/>
      <c r="EH12" s="705"/>
      <c r="EI12" s="705"/>
      <c r="EJ12" s="705"/>
      <c r="EK12" s="705"/>
      <c r="EL12" s="705"/>
      <c r="EM12" s="705"/>
      <c r="EN12" s="705"/>
      <c r="EO12" s="705"/>
      <c r="EP12" s="705"/>
      <c r="EQ12" s="705"/>
      <c r="ER12" s="705"/>
      <c r="ES12" s="705"/>
      <c r="ET12" s="705"/>
      <c r="EU12" s="705"/>
      <c r="EV12" s="705"/>
      <c r="EW12" s="705"/>
      <c r="EX12" s="705"/>
      <c r="EY12" s="705"/>
      <c r="EZ12" s="705"/>
      <c r="FA12" s="705"/>
      <c r="FB12" s="705"/>
      <c r="FC12" s="705"/>
      <c r="FD12" s="705"/>
      <c r="FE12" s="705"/>
      <c r="FF12" s="705"/>
      <c r="FG12" s="705"/>
      <c r="FH12" s="705"/>
      <c r="FI12" s="705"/>
      <c r="FJ12" s="705"/>
      <c r="FK12" s="705"/>
      <c r="FL12" s="705"/>
      <c r="FM12" s="705"/>
      <c r="FN12" s="705"/>
      <c r="FO12" s="705"/>
      <c r="FP12" s="705"/>
      <c r="FQ12" s="705"/>
      <c r="FR12" s="705"/>
      <c r="FS12" s="705"/>
      <c r="FT12" s="705"/>
      <c r="FU12" s="705"/>
      <c r="FV12" s="705"/>
      <c r="FW12" s="705"/>
      <c r="FX12" s="705"/>
      <c r="FY12" s="705"/>
      <c r="FZ12" s="705"/>
      <c r="GA12" s="705"/>
      <c r="GB12" s="705"/>
      <c r="GC12" s="705"/>
      <c r="GD12" s="705"/>
      <c r="GE12" s="705"/>
      <c r="GF12" s="705"/>
      <c r="GG12" s="705"/>
      <c r="GH12" s="705"/>
      <c r="GI12" s="705"/>
      <c r="GJ12" s="705"/>
      <c r="GK12" s="705"/>
      <c r="GL12" s="705"/>
      <c r="GM12" s="705"/>
      <c r="GN12" s="705"/>
      <c r="GO12" s="705"/>
      <c r="GP12" s="705"/>
      <c r="GQ12" s="705"/>
      <c r="GR12" s="705"/>
      <c r="GS12" s="705"/>
      <c r="GT12" s="705"/>
      <c r="GU12" s="705"/>
      <c r="GV12" s="705"/>
      <c r="GW12" s="705"/>
      <c r="GX12" s="705"/>
      <c r="GY12" s="705"/>
      <c r="GZ12" s="705"/>
      <c r="HA12" s="705"/>
      <c r="HB12" s="705"/>
      <c r="HC12" s="705"/>
      <c r="HD12" s="705"/>
      <c r="HE12" s="705"/>
      <c r="HF12" s="705"/>
      <c r="HG12" s="705"/>
      <c r="HH12" s="705"/>
      <c r="HI12" s="705"/>
      <c r="HJ12" s="705"/>
      <c r="HK12" s="705"/>
      <c r="HL12" s="705"/>
      <c r="HM12" s="705"/>
      <c r="HN12" s="705"/>
      <c r="HO12" s="705"/>
      <c r="HP12" s="705"/>
      <c r="HQ12" s="705"/>
      <c r="HR12" s="705"/>
      <c r="HS12" s="705"/>
      <c r="HT12" s="705"/>
      <c r="HU12" s="705"/>
      <c r="HV12" s="705"/>
      <c r="HW12" s="705"/>
    </row>
    <row r="13" spans="1:231" ht="15.6" customHeight="1">
      <c r="A13" s="719" t="s">
        <v>421</v>
      </c>
      <c r="B13" s="699">
        <v>3012379000</v>
      </c>
      <c r="C13" s="699">
        <f>ROUND(3189667.93+147668168.09+27409550.55+2575705639.9+214098023.29+153431896.46,-3)</f>
        <v>3121503000</v>
      </c>
      <c r="D13" s="700"/>
      <c r="E13" s="721">
        <f t="shared" si="0"/>
        <v>3.6225189459891949E-2</v>
      </c>
      <c r="F13" s="722"/>
      <c r="G13" s="700"/>
      <c r="H13" s="700"/>
      <c r="I13" s="700"/>
      <c r="J13" s="700"/>
      <c r="K13" s="723"/>
      <c r="L13" s="704"/>
      <c r="M13" s="724"/>
      <c r="N13" s="704"/>
      <c r="O13" s="704"/>
      <c r="P13" s="704"/>
      <c r="Q13" s="704"/>
      <c r="R13" s="704"/>
      <c r="S13" s="704"/>
      <c r="T13" s="704"/>
      <c r="U13" s="704"/>
      <c r="V13" s="704"/>
      <c r="W13" s="704"/>
      <c r="X13" s="705"/>
      <c r="Y13" s="705"/>
      <c r="Z13" s="705"/>
      <c r="AA13" s="705"/>
      <c r="AB13" s="705"/>
      <c r="AC13" s="705"/>
      <c r="AD13" s="705"/>
      <c r="AE13" s="705"/>
      <c r="AF13" s="705"/>
      <c r="AG13" s="705"/>
      <c r="AH13" s="705"/>
      <c r="AI13" s="705"/>
      <c r="AJ13" s="705"/>
      <c r="AK13" s="705"/>
      <c r="AL13" s="705"/>
      <c r="AM13" s="705"/>
      <c r="AN13" s="705"/>
      <c r="AO13" s="705"/>
      <c r="AP13" s="705"/>
      <c r="AQ13" s="705"/>
      <c r="AR13" s="705"/>
      <c r="AS13" s="705"/>
      <c r="AT13" s="705"/>
      <c r="AU13" s="705"/>
      <c r="AV13" s="705"/>
      <c r="AW13" s="705"/>
      <c r="AX13" s="705"/>
      <c r="AY13" s="705"/>
      <c r="AZ13" s="705"/>
      <c r="BA13" s="705"/>
      <c r="BB13" s="705"/>
      <c r="BC13" s="705"/>
      <c r="BD13" s="705"/>
      <c r="BE13" s="705"/>
      <c r="BF13" s="705"/>
      <c r="BG13" s="705"/>
      <c r="BH13" s="705"/>
      <c r="BI13" s="705"/>
      <c r="BJ13" s="705"/>
      <c r="BK13" s="705"/>
      <c r="BL13" s="705"/>
      <c r="BM13" s="705"/>
      <c r="BN13" s="705"/>
      <c r="BO13" s="705"/>
      <c r="BP13" s="705"/>
      <c r="BQ13" s="705"/>
      <c r="BR13" s="705"/>
      <c r="BS13" s="705"/>
      <c r="BT13" s="705"/>
      <c r="BU13" s="705"/>
      <c r="BV13" s="705"/>
      <c r="BW13" s="705"/>
      <c r="BX13" s="705"/>
      <c r="BY13" s="705"/>
      <c r="BZ13" s="705"/>
      <c r="CA13" s="705"/>
      <c r="CB13" s="705"/>
      <c r="CC13" s="705"/>
      <c r="CD13" s="705"/>
      <c r="CE13" s="705"/>
      <c r="CF13" s="705"/>
      <c r="CG13" s="705"/>
      <c r="CH13" s="705"/>
      <c r="CI13" s="705"/>
      <c r="CJ13" s="705"/>
      <c r="CK13" s="705"/>
      <c r="CL13" s="705"/>
      <c r="CM13" s="705"/>
      <c r="CN13" s="705"/>
      <c r="CO13" s="705"/>
      <c r="CP13" s="705"/>
      <c r="CQ13" s="705"/>
      <c r="CR13" s="705"/>
      <c r="CS13" s="705"/>
      <c r="CT13" s="705"/>
      <c r="CU13" s="705"/>
      <c r="CV13" s="705"/>
      <c r="CW13" s="705"/>
      <c r="CX13" s="705"/>
      <c r="CY13" s="705"/>
      <c r="CZ13" s="705"/>
      <c r="DA13" s="705"/>
      <c r="DB13" s="705"/>
      <c r="DC13" s="705"/>
      <c r="DD13" s="705"/>
      <c r="DE13" s="705"/>
      <c r="DF13" s="705"/>
      <c r="DG13" s="705"/>
      <c r="DH13" s="705"/>
      <c r="DI13" s="705"/>
      <c r="DJ13" s="705"/>
      <c r="DK13" s="705"/>
      <c r="DL13" s="705"/>
      <c r="DM13" s="705"/>
      <c r="DN13" s="705"/>
      <c r="DO13" s="705"/>
      <c r="DP13" s="705"/>
      <c r="DQ13" s="705"/>
      <c r="DR13" s="705"/>
      <c r="DS13" s="705"/>
      <c r="DT13" s="705"/>
      <c r="DU13" s="705"/>
      <c r="DV13" s="705"/>
      <c r="DW13" s="705"/>
      <c r="DX13" s="705"/>
      <c r="DY13" s="705"/>
      <c r="DZ13" s="705"/>
      <c r="EA13" s="705"/>
      <c r="EB13" s="705"/>
      <c r="EC13" s="705"/>
      <c r="ED13" s="705"/>
      <c r="EE13" s="705"/>
      <c r="EF13" s="705"/>
      <c r="EG13" s="705"/>
      <c r="EH13" s="705"/>
      <c r="EI13" s="705"/>
      <c r="EJ13" s="705"/>
      <c r="EK13" s="705"/>
      <c r="EL13" s="705"/>
      <c r="EM13" s="705"/>
      <c r="EN13" s="705"/>
      <c r="EO13" s="705"/>
      <c r="EP13" s="705"/>
      <c r="EQ13" s="705"/>
      <c r="ER13" s="705"/>
      <c r="ES13" s="705"/>
      <c r="ET13" s="705"/>
      <c r="EU13" s="705"/>
      <c r="EV13" s="705"/>
      <c r="EW13" s="705"/>
      <c r="EX13" s="705"/>
      <c r="EY13" s="705"/>
      <c r="EZ13" s="705"/>
      <c r="FA13" s="705"/>
      <c r="FB13" s="705"/>
      <c r="FC13" s="705"/>
      <c r="FD13" s="705"/>
      <c r="FE13" s="705"/>
      <c r="FF13" s="705"/>
      <c r="FG13" s="705"/>
      <c r="FH13" s="705"/>
      <c r="FI13" s="705"/>
      <c r="FJ13" s="705"/>
      <c r="FK13" s="705"/>
      <c r="FL13" s="705"/>
      <c r="FM13" s="705"/>
      <c r="FN13" s="705"/>
      <c r="FO13" s="705"/>
      <c r="FP13" s="705"/>
      <c r="FQ13" s="705"/>
      <c r="FR13" s="705"/>
      <c r="FS13" s="705"/>
      <c r="FT13" s="705"/>
      <c r="FU13" s="705"/>
      <c r="FV13" s="705"/>
      <c r="FW13" s="705"/>
      <c r="FX13" s="705"/>
      <c r="FY13" s="705"/>
      <c r="FZ13" s="705"/>
      <c r="GA13" s="705"/>
      <c r="GB13" s="705"/>
      <c r="GC13" s="705"/>
      <c r="GD13" s="705"/>
      <c r="GE13" s="705"/>
      <c r="GF13" s="705"/>
      <c r="GG13" s="705"/>
      <c r="GH13" s="705"/>
      <c r="GI13" s="705"/>
      <c r="GJ13" s="705"/>
      <c r="GK13" s="705"/>
      <c r="GL13" s="705"/>
      <c r="GM13" s="705"/>
      <c r="GN13" s="705"/>
      <c r="GO13" s="705"/>
      <c r="GP13" s="705"/>
      <c r="GQ13" s="705"/>
      <c r="GR13" s="705"/>
      <c r="GS13" s="705"/>
      <c r="GT13" s="705"/>
      <c r="GU13" s="705"/>
      <c r="GV13" s="705"/>
      <c r="GW13" s="705"/>
      <c r="GX13" s="705"/>
      <c r="GY13" s="705"/>
      <c r="GZ13" s="705"/>
      <c r="HA13" s="705"/>
      <c r="HB13" s="705"/>
      <c r="HC13" s="705"/>
      <c r="HD13" s="705"/>
      <c r="HE13" s="705"/>
      <c r="HF13" s="705"/>
      <c r="HG13" s="705"/>
      <c r="HH13" s="705"/>
      <c r="HI13" s="705"/>
      <c r="HJ13" s="705"/>
      <c r="HK13" s="705"/>
      <c r="HL13" s="705"/>
      <c r="HM13" s="705"/>
      <c r="HN13" s="705"/>
      <c r="HO13" s="705"/>
      <c r="HP13" s="705"/>
      <c r="HQ13" s="705"/>
      <c r="HR13" s="705"/>
      <c r="HS13" s="705"/>
      <c r="HT13" s="705"/>
      <c r="HU13" s="705"/>
      <c r="HV13" s="705"/>
      <c r="HW13" s="705"/>
    </row>
    <row r="14" spans="1:231" ht="15.6" customHeight="1">
      <c r="A14" s="719" t="s">
        <v>422</v>
      </c>
      <c r="B14" s="699">
        <v>3477000</v>
      </c>
      <c r="C14" s="699">
        <f>ROUND(3676330.46,-3)</f>
        <v>3676000</v>
      </c>
      <c r="D14" s="700"/>
      <c r="E14" s="721">
        <f t="shared" si="0"/>
        <v>5.7233247052056457E-2</v>
      </c>
      <c r="F14" s="722"/>
      <c r="G14" s="700"/>
      <c r="H14" s="700"/>
      <c r="I14" s="700"/>
      <c r="J14" s="700"/>
      <c r="K14" s="723"/>
      <c r="L14" s="704"/>
      <c r="M14" s="724"/>
      <c r="N14" s="704"/>
      <c r="O14" s="704"/>
      <c r="P14" s="704"/>
      <c r="Q14" s="717"/>
      <c r="R14" s="704"/>
      <c r="S14" s="704"/>
      <c r="T14" s="704"/>
      <c r="U14" s="704"/>
      <c r="V14" s="704"/>
      <c r="W14" s="704"/>
      <c r="X14" s="705"/>
      <c r="Y14" s="705"/>
      <c r="Z14" s="705"/>
      <c r="AA14" s="705"/>
      <c r="AB14" s="705"/>
      <c r="AC14" s="705"/>
      <c r="AD14" s="705"/>
      <c r="AE14" s="705"/>
      <c r="AF14" s="705"/>
      <c r="AG14" s="705"/>
      <c r="AH14" s="705"/>
      <c r="AI14" s="705"/>
      <c r="AJ14" s="705"/>
      <c r="AK14" s="705"/>
      <c r="AL14" s="705"/>
      <c r="AM14" s="705"/>
      <c r="AN14" s="705"/>
      <c r="AO14" s="705"/>
      <c r="AP14" s="705"/>
      <c r="AQ14" s="705"/>
      <c r="AR14" s="705"/>
      <c r="AS14" s="705"/>
      <c r="AT14" s="705"/>
      <c r="AU14" s="705"/>
      <c r="AV14" s="705"/>
      <c r="AW14" s="705"/>
      <c r="AX14" s="705"/>
      <c r="AY14" s="705"/>
      <c r="AZ14" s="705"/>
      <c r="BA14" s="705"/>
      <c r="BB14" s="705"/>
      <c r="BC14" s="705"/>
      <c r="BD14" s="705"/>
      <c r="BE14" s="705"/>
      <c r="BF14" s="705"/>
      <c r="BG14" s="705"/>
      <c r="BH14" s="705"/>
      <c r="BI14" s="705"/>
      <c r="BJ14" s="705"/>
      <c r="BK14" s="705"/>
      <c r="BL14" s="705"/>
      <c r="BM14" s="705"/>
      <c r="BN14" s="705"/>
      <c r="BO14" s="705"/>
      <c r="BP14" s="705"/>
      <c r="BQ14" s="705"/>
      <c r="BR14" s="705"/>
      <c r="BS14" s="705"/>
      <c r="BT14" s="705"/>
      <c r="BU14" s="705"/>
      <c r="BV14" s="705"/>
      <c r="BW14" s="705"/>
      <c r="BX14" s="705"/>
      <c r="BY14" s="705"/>
      <c r="BZ14" s="705"/>
      <c r="CA14" s="705"/>
      <c r="CB14" s="705"/>
      <c r="CC14" s="705"/>
      <c r="CD14" s="705"/>
      <c r="CE14" s="705"/>
      <c r="CF14" s="705"/>
      <c r="CG14" s="705"/>
      <c r="CH14" s="705"/>
      <c r="CI14" s="705"/>
      <c r="CJ14" s="705"/>
      <c r="CK14" s="705"/>
      <c r="CL14" s="705"/>
      <c r="CM14" s="705"/>
      <c r="CN14" s="705"/>
      <c r="CO14" s="705"/>
      <c r="CP14" s="705"/>
      <c r="CQ14" s="705"/>
      <c r="CR14" s="705"/>
      <c r="CS14" s="705"/>
      <c r="CT14" s="705"/>
      <c r="CU14" s="705"/>
      <c r="CV14" s="705"/>
      <c r="CW14" s="705"/>
      <c r="CX14" s="705"/>
      <c r="CY14" s="705"/>
      <c r="CZ14" s="705"/>
      <c r="DA14" s="705"/>
      <c r="DB14" s="705"/>
      <c r="DC14" s="705"/>
      <c r="DD14" s="705"/>
      <c r="DE14" s="705"/>
      <c r="DF14" s="705"/>
      <c r="DG14" s="705"/>
      <c r="DH14" s="705"/>
      <c r="DI14" s="705"/>
      <c r="DJ14" s="705"/>
      <c r="DK14" s="705"/>
      <c r="DL14" s="705"/>
      <c r="DM14" s="705"/>
      <c r="DN14" s="705"/>
      <c r="DO14" s="705"/>
      <c r="DP14" s="705"/>
      <c r="DQ14" s="705"/>
      <c r="DR14" s="705"/>
      <c r="DS14" s="705"/>
      <c r="DT14" s="705"/>
      <c r="DU14" s="705"/>
      <c r="DV14" s="705"/>
      <c r="DW14" s="705"/>
      <c r="DX14" s="705"/>
      <c r="DY14" s="705"/>
      <c r="DZ14" s="705"/>
      <c r="EA14" s="705"/>
      <c r="EB14" s="705"/>
      <c r="EC14" s="705"/>
      <c r="ED14" s="705"/>
      <c r="EE14" s="705"/>
      <c r="EF14" s="705"/>
      <c r="EG14" s="705"/>
      <c r="EH14" s="705"/>
      <c r="EI14" s="705"/>
      <c r="EJ14" s="705"/>
      <c r="EK14" s="705"/>
      <c r="EL14" s="705"/>
      <c r="EM14" s="705"/>
      <c r="EN14" s="705"/>
      <c r="EO14" s="705"/>
      <c r="EP14" s="705"/>
      <c r="EQ14" s="705"/>
      <c r="ER14" s="705"/>
      <c r="ES14" s="705"/>
      <c r="ET14" s="705"/>
      <c r="EU14" s="705"/>
      <c r="EV14" s="705"/>
      <c r="EW14" s="705"/>
      <c r="EX14" s="705"/>
      <c r="EY14" s="705"/>
      <c r="EZ14" s="705"/>
      <c r="FA14" s="705"/>
      <c r="FB14" s="705"/>
      <c r="FC14" s="705"/>
      <c r="FD14" s="705"/>
      <c r="FE14" s="705"/>
      <c r="FF14" s="705"/>
      <c r="FG14" s="705"/>
      <c r="FH14" s="705"/>
      <c r="FI14" s="705"/>
      <c r="FJ14" s="705"/>
      <c r="FK14" s="705"/>
      <c r="FL14" s="705"/>
      <c r="FM14" s="705"/>
      <c r="FN14" s="705"/>
      <c r="FO14" s="705"/>
      <c r="FP14" s="705"/>
      <c r="FQ14" s="705"/>
      <c r="FR14" s="705"/>
      <c r="FS14" s="705"/>
      <c r="FT14" s="705"/>
      <c r="FU14" s="705"/>
      <c r="FV14" s="705"/>
      <c r="FW14" s="705"/>
      <c r="FX14" s="705"/>
      <c r="FY14" s="705"/>
      <c r="FZ14" s="705"/>
      <c r="GA14" s="705"/>
      <c r="GB14" s="705"/>
      <c r="GC14" s="705"/>
      <c r="GD14" s="705"/>
      <c r="GE14" s="705"/>
      <c r="GF14" s="705"/>
      <c r="GG14" s="705"/>
      <c r="GH14" s="705"/>
      <c r="GI14" s="705"/>
      <c r="GJ14" s="705"/>
      <c r="GK14" s="705"/>
      <c r="GL14" s="705"/>
      <c r="GM14" s="705"/>
      <c r="GN14" s="705"/>
      <c r="GO14" s="705"/>
      <c r="GP14" s="705"/>
      <c r="GQ14" s="705"/>
      <c r="GR14" s="705"/>
      <c r="GS14" s="705"/>
      <c r="GT14" s="705"/>
      <c r="GU14" s="705"/>
      <c r="GV14" s="705"/>
      <c r="GW14" s="705"/>
      <c r="GX14" s="705"/>
      <c r="GY14" s="705"/>
      <c r="GZ14" s="705"/>
      <c r="HA14" s="705"/>
      <c r="HB14" s="705"/>
      <c r="HC14" s="705"/>
      <c r="HD14" s="705"/>
      <c r="HE14" s="705"/>
      <c r="HF14" s="705"/>
      <c r="HG14" s="705"/>
      <c r="HH14" s="705"/>
      <c r="HI14" s="705"/>
      <c r="HJ14" s="705"/>
      <c r="HK14" s="705"/>
      <c r="HL14" s="705"/>
      <c r="HM14" s="705"/>
      <c r="HN14" s="705"/>
      <c r="HO14" s="705"/>
      <c r="HP14" s="705"/>
      <c r="HQ14" s="705"/>
      <c r="HR14" s="705"/>
      <c r="HS14" s="705"/>
      <c r="HT14" s="705"/>
      <c r="HU14" s="705"/>
      <c r="HV14" s="705"/>
      <c r="HW14" s="705"/>
    </row>
    <row r="15" spans="1:231" ht="15.6" customHeight="1">
      <c r="A15" s="702" t="s">
        <v>1053</v>
      </c>
      <c r="B15" s="699">
        <v>5985000</v>
      </c>
      <c r="C15" s="699">
        <f>ROUND(6023687.18+856583.43,-3)</f>
        <v>6880000</v>
      </c>
      <c r="D15" s="700"/>
      <c r="E15" s="721">
        <f t="shared" si="0"/>
        <v>0.14954051796157053</v>
      </c>
      <c r="F15" s="722"/>
      <c r="G15" s="700"/>
      <c r="H15" s="700"/>
      <c r="I15" s="700"/>
      <c r="J15" s="700"/>
      <c r="K15" s="723"/>
      <c r="L15" s="704"/>
      <c r="M15" s="724"/>
      <c r="N15" s="704"/>
      <c r="O15" s="704"/>
      <c r="P15" s="704"/>
      <c r="Q15" s="704"/>
      <c r="R15" s="704"/>
      <c r="S15" s="704"/>
      <c r="T15" s="704"/>
      <c r="U15" s="704"/>
      <c r="V15" s="704"/>
      <c r="W15" s="704"/>
      <c r="X15" s="705"/>
      <c r="Y15" s="705"/>
      <c r="Z15" s="705"/>
      <c r="AA15" s="705"/>
      <c r="AB15" s="705"/>
      <c r="AC15" s="705"/>
      <c r="AD15" s="705"/>
      <c r="AE15" s="705"/>
      <c r="AF15" s="705"/>
      <c r="AG15" s="705"/>
      <c r="AH15" s="705"/>
      <c r="AI15" s="705"/>
      <c r="AJ15" s="705"/>
      <c r="AK15" s="705"/>
      <c r="AL15" s="705"/>
      <c r="AM15" s="705"/>
      <c r="AN15" s="705"/>
      <c r="AO15" s="705"/>
      <c r="AP15" s="705"/>
      <c r="AQ15" s="705"/>
      <c r="AR15" s="705"/>
      <c r="AS15" s="705"/>
      <c r="AT15" s="705"/>
      <c r="AU15" s="705"/>
      <c r="AV15" s="705"/>
      <c r="AW15" s="705"/>
      <c r="AX15" s="705"/>
      <c r="AY15" s="705"/>
      <c r="AZ15" s="705"/>
      <c r="BA15" s="705"/>
      <c r="BB15" s="705"/>
      <c r="BC15" s="705"/>
      <c r="BD15" s="705"/>
      <c r="BE15" s="705"/>
      <c r="BF15" s="705"/>
      <c r="BG15" s="705"/>
      <c r="BH15" s="705"/>
      <c r="BI15" s="705"/>
      <c r="BJ15" s="705"/>
      <c r="BK15" s="705"/>
      <c r="BL15" s="705"/>
      <c r="BM15" s="705"/>
      <c r="BN15" s="705"/>
      <c r="BO15" s="705"/>
      <c r="BP15" s="705"/>
      <c r="BQ15" s="705"/>
      <c r="BR15" s="705"/>
      <c r="BS15" s="705"/>
      <c r="BT15" s="705"/>
      <c r="BU15" s="705"/>
      <c r="BV15" s="705"/>
      <c r="BW15" s="705"/>
      <c r="BX15" s="705"/>
      <c r="BY15" s="705"/>
      <c r="BZ15" s="705"/>
      <c r="CA15" s="705"/>
      <c r="CB15" s="705"/>
      <c r="CC15" s="705"/>
      <c r="CD15" s="705"/>
      <c r="CE15" s="705"/>
      <c r="CF15" s="705"/>
      <c r="CG15" s="705"/>
      <c r="CH15" s="705"/>
      <c r="CI15" s="705"/>
      <c r="CJ15" s="705"/>
      <c r="CK15" s="705"/>
      <c r="CL15" s="705"/>
      <c r="CM15" s="705"/>
      <c r="CN15" s="705"/>
      <c r="CO15" s="705"/>
      <c r="CP15" s="705"/>
      <c r="CQ15" s="705"/>
      <c r="CR15" s="705"/>
      <c r="CS15" s="705"/>
      <c r="CT15" s="705"/>
      <c r="CU15" s="705"/>
      <c r="CV15" s="705"/>
      <c r="CW15" s="705"/>
      <c r="CX15" s="705"/>
      <c r="CY15" s="705"/>
      <c r="CZ15" s="705"/>
      <c r="DA15" s="705"/>
      <c r="DB15" s="705"/>
      <c r="DC15" s="705"/>
      <c r="DD15" s="705"/>
      <c r="DE15" s="705"/>
      <c r="DF15" s="705"/>
      <c r="DG15" s="705"/>
      <c r="DH15" s="705"/>
      <c r="DI15" s="705"/>
      <c r="DJ15" s="705"/>
      <c r="DK15" s="705"/>
      <c r="DL15" s="705"/>
      <c r="DM15" s="705"/>
      <c r="DN15" s="705"/>
      <c r="DO15" s="705"/>
      <c r="DP15" s="705"/>
      <c r="DQ15" s="705"/>
      <c r="DR15" s="705"/>
      <c r="DS15" s="705"/>
      <c r="DT15" s="705"/>
      <c r="DU15" s="705"/>
      <c r="DV15" s="705"/>
      <c r="DW15" s="705"/>
      <c r="DX15" s="705"/>
      <c r="DY15" s="705"/>
      <c r="DZ15" s="705"/>
      <c r="EA15" s="705"/>
      <c r="EB15" s="705"/>
      <c r="EC15" s="705"/>
      <c r="ED15" s="705"/>
      <c r="EE15" s="705"/>
      <c r="EF15" s="705"/>
      <c r="EG15" s="705"/>
      <c r="EH15" s="705"/>
      <c r="EI15" s="705"/>
      <c r="EJ15" s="705"/>
      <c r="EK15" s="705"/>
      <c r="EL15" s="705"/>
      <c r="EM15" s="705"/>
      <c r="EN15" s="705"/>
      <c r="EO15" s="705"/>
      <c r="EP15" s="705"/>
      <c r="EQ15" s="705"/>
      <c r="ER15" s="705"/>
      <c r="ES15" s="705"/>
      <c r="ET15" s="705"/>
      <c r="EU15" s="705"/>
      <c r="EV15" s="705"/>
      <c r="EW15" s="705"/>
      <c r="EX15" s="705"/>
      <c r="EY15" s="705"/>
      <c r="EZ15" s="705"/>
      <c r="FA15" s="705"/>
      <c r="FB15" s="705"/>
      <c r="FC15" s="705"/>
      <c r="FD15" s="705"/>
      <c r="FE15" s="705"/>
      <c r="FF15" s="705"/>
      <c r="FG15" s="705"/>
      <c r="FH15" s="705"/>
      <c r="FI15" s="705"/>
      <c r="FJ15" s="705"/>
      <c r="FK15" s="705"/>
      <c r="FL15" s="705"/>
      <c r="FM15" s="705"/>
      <c r="FN15" s="705"/>
      <c r="FO15" s="705"/>
      <c r="FP15" s="705"/>
      <c r="FQ15" s="705"/>
      <c r="FR15" s="705"/>
      <c r="FS15" s="705"/>
      <c r="FT15" s="705"/>
      <c r="FU15" s="705"/>
      <c r="FV15" s="705"/>
      <c r="FW15" s="705"/>
      <c r="FX15" s="705"/>
      <c r="FY15" s="705"/>
      <c r="FZ15" s="705"/>
      <c r="GA15" s="705"/>
      <c r="GB15" s="705"/>
      <c r="GC15" s="705"/>
      <c r="GD15" s="705"/>
      <c r="GE15" s="705"/>
      <c r="GF15" s="705"/>
      <c r="GG15" s="705"/>
      <c r="GH15" s="705"/>
      <c r="GI15" s="705"/>
      <c r="GJ15" s="705"/>
      <c r="GK15" s="705"/>
      <c r="GL15" s="705"/>
      <c r="GM15" s="705"/>
      <c r="GN15" s="705"/>
      <c r="GO15" s="705"/>
      <c r="GP15" s="705"/>
      <c r="GQ15" s="705"/>
      <c r="GR15" s="705"/>
      <c r="GS15" s="705"/>
      <c r="GT15" s="705"/>
      <c r="GU15" s="705"/>
      <c r="GV15" s="705"/>
      <c r="GW15" s="705"/>
      <c r="GX15" s="705"/>
      <c r="GY15" s="705"/>
      <c r="GZ15" s="705"/>
      <c r="HA15" s="705"/>
      <c r="HB15" s="705"/>
      <c r="HC15" s="705"/>
      <c r="HD15" s="705"/>
      <c r="HE15" s="705"/>
      <c r="HF15" s="705"/>
      <c r="HG15" s="705"/>
      <c r="HH15" s="705"/>
      <c r="HI15" s="705"/>
      <c r="HJ15" s="705"/>
      <c r="HK15" s="705"/>
      <c r="HL15" s="705"/>
      <c r="HM15" s="705"/>
      <c r="HN15" s="705"/>
      <c r="HO15" s="705"/>
      <c r="HP15" s="705"/>
      <c r="HQ15" s="705"/>
      <c r="HR15" s="705"/>
      <c r="HS15" s="705"/>
      <c r="HT15" s="705"/>
      <c r="HU15" s="705"/>
      <c r="HV15" s="705"/>
      <c r="HW15" s="705"/>
    </row>
    <row r="16" spans="1:231" ht="9" customHeight="1">
      <c r="A16" s="702"/>
      <c r="B16" s="726"/>
      <c r="C16" s="726"/>
      <c r="D16" s="700"/>
      <c r="E16" s="727"/>
      <c r="F16" s="700"/>
      <c r="G16" s="700"/>
      <c r="H16" s="700"/>
      <c r="I16" s="700"/>
      <c r="J16" s="700"/>
      <c r="K16" s="723"/>
      <c r="L16" s="704"/>
      <c r="M16" s="724"/>
      <c r="N16" s="704"/>
      <c r="O16" s="704"/>
      <c r="P16" s="704"/>
      <c r="Q16" s="704"/>
      <c r="R16" s="704"/>
      <c r="S16" s="704"/>
      <c r="T16" s="704"/>
      <c r="U16" s="704"/>
      <c r="V16" s="704"/>
      <c r="W16" s="704"/>
      <c r="X16" s="705"/>
      <c r="Y16" s="705"/>
      <c r="Z16" s="705"/>
      <c r="AA16" s="705"/>
      <c r="AB16" s="705"/>
      <c r="AC16" s="705"/>
      <c r="AD16" s="705"/>
      <c r="AE16" s="705"/>
      <c r="AF16" s="705"/>
      <c r="AG16" s="705"/>
      <c r="AH16" s="705"/>
      <c r="AI16" s="705"/>
      <c r="AJ16" s="705"/>
      <c r="AK16" s="705"/>
      <c r="AL16" s="705"/>
      <c r="AM16" s="705"/>
      <c r="AN16" s="705"/>
      <c r="AO16" s="705"/>
      <c r="AP16" s="705"/>
      <c r="AQ16" s="705"/>
      <c r="AR16" s="705"/>
      <c r="AS16" s="705"/>
      <c r="AT16" s="705"/>
      <c r="AU16" s="705"/>
      <c r="AV16" s="705"/>
      <c r="AW16" s="705"/>
      <c r="AX16" s="705"/>
      <c r="AY16" s="705"/>
      <c r="AZ16" s="705"/>
      <c r="BA16" s="705"/>
      <c r="BB16" s="705"/>
      <c r="BC16" s="705"/>
      <c r="BD16" s="705"/>
      <c r="BE16" s="705"/>
      <c r="BF16" s="705"/>
      <c r="BG16" s="705"/>
      <c r="BH16" s="705"/>
      <c r="BI16" s="705"/>
      <c r="BJ16" s="705"/>
      <c r="BK16" s="705"/>
      <c r="BL16" s="705"/>
      <c r="BM16" s="705"/>
      <c r="BN16" s="705"/>
      <c r="BO16" s="705"/>
      <c r="BP16" s="705"/>
      <c r="BQ16" s="705"/>
      <c r="BR16" s="705"/>
      <c r="BS16" s="705"/>
      <c r="BT16" s="705"/>
      <c r="BU16" s="705"/>
      <c r="BV16" s="705"/>
      <c r="BW16" s="705"/>
      <c r="BX16" s="705"/>
      <c r="BY16" s="705"/>
      <c r="BZ16" s="705"/>
      <c r="CA16" s="705"/>
      <c r="CB16" s="705"/>
      <c r="CC16" s="705"/>
      <c r="CD16" s="705"/>
      <c r="CE16" s="705"/>
      <c r="CF16" s="705"/>
      <c r="CG16" s="705"/>
      <c r="CH16" s="705"/>
      <c r="CI16" s="705"/>
      <c r="CJ16" s="705"/>
      <c r="CK16" s="705"/>
      <c r="CL16" s="705"/>
      <c r="CM16" s="705"/>
      <c r="CN16" s="705"/>
      <c r="CO16" s="705"/>
      <c r="CP16" s="705"/>
      <c r="CQ16" s="705"/>
      <c r="CR16" s="705"/>
      <c r="CS16" s="705"/>
      <c r="CT16" s="705"/>
      <c r="CU16" s="705"/>
      <c r="CV16" s="705"/>
      <c r="CW16" s="705"/>
      <c r="CX16" s="705"/>
      <c r="CY16" s="705"/>
      <c r="CZ16" s="705"/>
      <c r="DA16" s="705"/>
      <c r="DB16" s="705"/>
      <c r="DC16" s="705"/>
      <c r="DD16" s="705"/>
      <c r="DE16" s="705"/>
      <c r="DF16" s="705"/>
      <c r="DG16" s="705"/>
      <c r="DH16" s="705"/>
      <c r="DI16" s="705"/>
      <c r="DJ16" s="705"/>
      <c r="DK16" s="705"/>
      <c r="DL16" s="705"/>
      <c r="DM16" s="705"/>
      <c r="DN16" s="705"/>
      <c r="DO16" s="705"/>
      <c r="DP16" s="705"/>
      <c r="DQ16" s="705"/>
      <c r="DR16" s="705"/>
      <c r="DS16" s="705"/>
      <c r="DT16" s="705"/>
      <c r="DU16" s="705"/>
      <c r="DV16" s="705"/>
      <c r="DW16" s="705"/>
      <c r="DX16" s="705"/>
      <c r="DY16" s="705"/>
      <c r="DZ16" s="705"/>
      <c r="EA16" s="705"/>
      <c r="EB16" s="705"/>
      <c r="EC16" s="705"/>
      <c r="ED16" s="705"/>
      <c r="EE16" s="705"/>
      <c r="EF16" s="705"/>
      <c r="EG16" s="705"/>
      <c r="EH16" s="705"/>
      <c r="EI16" s="705"/>
      <c r="EJ16" s="705"/>
      <c r="EK16" s="705"/>
      <c r="EL16" s="705"/>
      <c r="EM16" s="705"/>
      <c r="EN16" s="705"/>
      <c r="EO16" s="705"/>
      <c r="EP16" s="705"/>
      <c r="EQ16" s="705"/>
      <c r="ER16" s="705"/>
      <c r="ES16" s="705"/>
      <c r="ET16" s="705"/>
      <c r="EU16" s="705"/>
      <c r="EV16" s="705"/>
      <c r="EW16" s="705"/>
      <c r="EX16" s="705"/>
      <c r="EY16" s="705"/>
      <c r="EZ16" s="705"/>
      <c r="FA16" s="705"/>
      <c r="FB16" s="705"/>
      <c r="FC16" s="705"/>
      <c r="FD16" s="705"/>
      <c r="FE16" s="705"/>
      <c r="FF16" s="705"/>
      <c r="FG16" s="705"/>
      <c r="FH16" s="705"/>
      <c r="FI16" s="705"/>
      <c r="FJ16" s="705"/>
      <c r="FK16" s="705"/>
      <c r="FL16" s="705"/>
      <c r="FM16" s="705"/>
      <c r="FN16" s="705"/>
      <c r="FO16" s="705"/>
      <c r="FP16" s="705"/>
      <c r="FQ16" s="705"/>
      <c r="FR16" s="705"/>
      <c r="FS16" s="705"/>
      <c r="FT16" s="705"/>
      <c r="FU16" s="705"/>
      <c r="FV16" s="705"/>
      <c r="FW16" s="705"/>
      <c r="FX16" s="705"/>
      <c r="FY16" s="705"/>
      <c r="FZ16" s="705"/>
      <c r="GA16" s="705"/>
      <c r="GB16" s="705"/>
      <c r="GC16" s="705"/>
      <c r="GD16" s="705"/>
      <c r="GE16" s="705"/>
      <c r="GF16" s="705"/>
      <c r="GG16" s="705"/>
      <c r="GH16" s="705"/>
      <c r="GI16" s="705"/>
      <c r="GJ16" s="705"/>
      <c r="GK16" s="705"/>
      <c r="GL16" s="705"/>
      <c r="GM16" s="705"/>
      <c r="GN16" s="705"/>
      <c r="GO16" s="705"/>
      <c r="GP16" s="705"/>
      <c r="GQ16" s="705"/>
      <c r="GR16" s="705"/>
      <c r="GS16" s="705"/>
      <c r="GT16" s="705"/>
      <c r="GU16" s="705"/>
      <c r="GV16" s="705"/>
      <c r="GW16" s="705"/>
      <c r="GX16" s="705"/>
      <c r="GY16" s="705"/>
      <c r="GZ16" s="705"/>
      <c r="HA16" s="705"/>
      <c r="HB16" s="705"/>
      <c r="HC16" s="705"/>
      <c r="HD16" s="705"/>
      <c r="HE16" s="705"/>
      <c r="HF16" s="705"/>
      <c r="HG16" s="705"/>
      <c r="HH16" s="705"/>
      <c r="HI16" s="705"/>
      <c r="HJ16" s="705"/>
      <c r="HK16" s="705"/>
      <c r="HL16" s="705"/>
      <c r="HM16" s="705"/>
      <c r="HN16" s="705"/>
      <c r="HO16" s="705"/>
      <c r="HP16" s="705"/>
      <c r="HQ16" s="705"/>
      <c r="HR16" s="705"/>
      <c r="HS16" s="705"/>
      <c r="HT16" s="705"/>
      <c r="HU16" s="705"/>
      <c r="HV16" s="705"/>
      <c r="HW16" s="705"/>
    </row>
    <row r="17" spans="1:231" ht="15.6" customHeight="1">
      <c r="A17" s="712" t="s">
        <v>423</v>
      </c>
      <c r="B17" s="728">
        <f>SUM(B7:B15)</f>
        <v>14098511000</v>
      </c>
      <c r="C17" s="728">
        <f>SUM(C7:C15)</f>
        <v>14938089000</v>
      </c>
      <c r="D17" s="729"/>
      <c r="E17" s="730">
        <f t="shared" si="0"/>
        <v>5.9550827743440449E-2</v>
      </c>
      <c r="F17" s="722"/>
      <c r="G17" s="700"/>
      <c r="H17" s="700"/>
      <c r="I17" s="700"/>
      <c r="J17" s="700"/>
      <c r="K17" s="723"/>
      <c r="L17" s="704"/>
      <c r="M17" s="724"/>
      <c r="N17" s="704"/>
      <c r="O17" s="704"/>
      <c r="P17" s="704"/>
      <c r="Q17" s="704"/>
      <c r="R17" s="704"/>
      <c r="S17" s="704"/>
      <c r="T17" s="704"/>
      <c r="U17" s="704"/>
      <c r="V17" s="704"/>
      <c r="W17" s="704"/>
      <c r="X17" s="705"/>
      <c r="Y17" s="705"/>
      <c r="Z17" s="705"/>
      <c r="AA17" s="705"/>
      <c r="AB17" s="705"/>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705"/>
      <c r="AY17" s="705"/>
      <c r="AZ17" s="705"/>
      <c r="BA17" s="705"/>
      <c r="BB17" s="705"/>
      <c r="BC17" s="705"/>
      <c r="BD17" s="705"/>
      <c r="BE17" s="705"/>
      <c r="BF17" s="705"/>
      <c r="BG17" s="705"/>
      <c r="BH17" s="705"/>
      <c r="BI17" s="705"/>
      <c r="BJ17" s="705"/>
      <c r="BK17" s="705"/>
      <c r="BL17" s="705"/>
      <c r="BM17" s="705"/>
      <c r="BN17" s="705"/>
      <c r="BO17" s="705"/>
      <c r="BP17" s="705"/>
      <c r="BQ17" s="705"/>
      <c r="BR17" s="705"/>
      <c r="BS17" s="705"/>
      <c r="BT17" s="705"/>
      <c r="BU17" s="705"/>
      <c r="BV17" s="705"/>
      <c r="BW17" s="705"/>
      <c r="BX17" s="705"/>
      <c r="BY17" s="705"/>
      <c r="BZ17" s="705"/>
      <c r="CA17" s="705"/>
      <c r="CB17" s="705"/>
      <c r="CC17" s="705"/>
      <c r="CD17" s="705"/>
      <c r="CE17" s="705"/>
      <c r="CF17" s="705"/>
      <c r="CG17" s="705"/>
      <c r="CH17" s="705"/>
      <c r="CI17" s="705"/>
      <c r="CJ17" s="705"/>
      <c r="CK17" s="705"/>
      <c r="CL17" s="705"/>
      <c r="CM17" s="705"/>
      <c r="CN17" s="705"/>
      <c r="CO17" s="705"/>
      <c r="CP17" s="705"/>
      <c r="CQ17" s="705"/>
      <c r="CR17" s="705"/>
      <c r="CS17" s="705"/>
      <c r="CT17" s="705"/>
      <c r="CU17" s="705"/>
      <c r="CV17" s="705"/>
      <c r="CW17" s="705"/>
      <c r="CX17" s="705"/>
      <c r="CY17" s="705"/>
      <c r="CZ17" s="705"/>
      <c r="DA17" s="705"/>
      <c r="DB17" s="705"/>
      <c r="DC17" s="705"/>
      <c r="DD17" s="705"/>
      <c r="DE17" s="705"/>
      <c r="DF17" s="705"/>
      <c r="DG17" s="705"/>
      <c r="DH17" s="705"/>
      <c r="DI17" s="705"/>
      <c r="DJ17" s="705"/>
      <c r="DK17" s="705"/>
      <c r="DL17" s="705"/>
      <c r="DM17" s="705"/>
      <c r="DN17" s="705"/>
      <c r="DO17" s="705"/>
      <c r="DP17" s="705"/>
      <c r="DQ17" s="705"/>
      <c r="DR17" s="705"/>
      <c r="DS17" s="705"/>
      <c r="DT17" s="705"/>
      <c r="DU17" s="705"/>
      <c r="DV17" s="705"/>
      <c r="DW17" s="705"/>
      <c r="DX17" s="705"/>
      <c r="DY17" s="705"/>
      <c r="DZ17" s="705"/>
      <c r="EA17" s="705"/>
      <c r="EB17" s="705"/>
      <c r="EC17" s="705"/>
      <c r="ED17" s="705"/>
      <c r="EE17" s="705"/>
      <c r="EF17" s="705"/>
      <c r="EG17" s="705"/>
      <c r="EH17" s="705"/>
      <c r="EI17" s="705"/>
      <c r="EJ17" s="705"/>
      <c r="EK17" s="705"/>
      <c r="EL17" s="705"/>
      <c r="EM17" s="705"/>
      <c r="EN17" s="705"/>
      <c r="EO17" s="705"/>
      <c r="EP17" s="705"/>
      <c r="EQ17" s="705"/>
      <c r="ER17" s="705"/>
      <c r="ES17" s="705"/>
      <c r="ET17" s="705"/>
      <c r="EU17" s="705"/>
      <c r="EV17" s="705"/>
      <c r="EW17" s="705"/>
      <c r="EX17" s="705"/>
      <c r="EY17" s="705"/>
      <c r="EZ17" s="705"/>
      <c r="FA17" s="705"/>
      <c r="FB17" s="705"/>
      <c r="FC17" s="705"/>
      <c r="FD17" s="705"/>
      <c r="FE17" s="705"/>
      <c r="FF17" s="705"/>
      <c r="FG17" s="705"/>
      <c r="FH17" s="705"/>
      <c r="FI17" s="705"/>
      <c r="FJ17" s="705"/>
      <c r="FK17" s="705"/>
      <c r="FL17" s="705"/>
      <c r="FM17" s="705"/>
      <c r="FN17" s="705"/>
      <c r="FO17" s="705"/>
      <c r="FP17" s="705"/>
      <c r="FQ17" s="705"/>
      <c r="FR17" s="705"/>
      <c r="FS17" s="705"/>
      <c r="FT17" s="705"/>
      <c r="FU17" s="705"/>
      <c r="FV17" s="705"/>
      <c r="FW17" s="705"/>
      <c r="FX17" s="705"/>
      <c r="FY17" s="705"/>
      <c r="FZ17" s="705"/>
      <c r="GA17" s="705"/>
      <c r="GB17" s="705"/>
      <c r="GC17" s="705"/>
      <c r="GD17" s="705"/>
      <c r="GE17" s="705"/>
      <c r="GF17" s="705"/>
      <c r="GG17" s="705"/>
      <c r="GH17" s="705"/>
      <c r="GI17" s="705"/>
      <c r="GJ17" s="705"/>
      <c r="GK17" s="705"/>
      <c r="GL17" s="705"/>
      <c r="GM17" s="705"/>
      <c r="GN17" s="705"/>
      <c r="GO17" s="705"/>
      <c r="GP17" s="705"/>
      <c r="GQ17" s="705"/>
      <c r="GR17" s="705"/>
      <c r="GS17" s="705"/>
      <c r="GT17" s="705"/>
      <c r="GU17" s="705"/>
      <c r="GV17" s="705"/>
      <c r="GW17" s="705"/>
      <c r="GX17" s="705"/>
      <c r="GY17" s="705"/>
      <c r="GZ17" s="705"/>
      <c r="HA17" s="705"/>
      <c r="HB17" s="705"/>
      <c r="HC17" s="705"/>
      <c r="HD17" s="705"/>
      <c r="HE17" s="705"/>
      <c r="HF17" s="705"/>
      <c r="HG17" s="705"/>
      <c r="HH17" s="705"/>
      <c r="HI17" s="705"/>
      <c r="HJ17" s="705"/>
      <c r="HK17" s="705"/>
      <c r="HL17" s="705"/>
      <c r="HM17" s="705"/>
      <c r="HN17" s="705"/>
      <c r="HO17" s="705"/>
      <c r="HP17" s="705"/>
      <c r="HQ17" s="705"/>
      <c r="HR17" s="705"/>
      <c r="HS17" s="705"/>
      <c r="HT17" s="705"/>
      <c r="HU17" s="705"/>
      <c r="HV17" s="705"/>
      <c r="HW17" s="705"/>
    </row>
    <row r="18" spans="1:231">
      <c r="A18" s="719"/>
      <c r="B18" s="699"/>
      <c r="C18" s="699"/>
      <c r="D18" s="700"/>
      <c r="E18" s="731"/>
      <c r="F18" s="700"/>
      <c r="G18" s="700"/>
      <c r="H18" s="700"/>
      <c r="I18" s="700"/>
      <c r="J18" s="700"/>
      <c r="K18" s="723"/>
      <c r="L18" s="704"/>
      <c r="M18" s="704"/>
      <c r="N18" s="704"/>
      <c r="O18" s="704"/>
      <c r="P18" s="704"/>
      <c r="Q18" s="704"/>
      <c r="R18" s="704"/>
      <c r="S18" s="704"/>
      <c r="T18" s="704"/>
      <c r="U18" s="704"/>
      <c r="V18" s="704"/>
      <c r="W18" s="704"/>
      <c r="X18" s="705"/>
      <c r="Y18" s="705"/>
      <c r="Z18" s="705"/>
      <c r="AA18" s="705"/>
      <c r="AB18" s="705"/>
      <c r="AC18" s="705"/>
      <c r="AD18" s="705"/>
      <c r="AE18" s="705"/>
      <c r="AF18" s="705"/>
      <c r="AG18" s="705"/>
      <c r="AH18" s="705"/>
      <c r="AI18" s="705"/>
      <c r="AJ18" s="705"/>
      <c r="AK18" s="705"/>
      <c r="AL18" s="705"/>
      <c r="AM18" s="705"/>
      <c r="AN18" s="705"/>
      <c r="AO18" s="705"/>
      <c r="AP18" s="705"/>
      <c r="AQ18" s="705"/>
      <c r="AR18" s="705"/>
      <c r="AS18" s="705"/>
      <c r="AT18" s="705"/>
      <c r="AU18" s="705"/>
      <c r="AV18" s="705"/>
      <c r="AW18" s="705"/>
      <c r="AX18" s="705"/>
      <c r="AY18" s="705"/>
      <c r="AZ18" s="705"/>
      <c r="BA18" s="705"/>
      <c r="BB18" s="705"/>
      <c r="BC18" s="705"/>
      <c r="BD18" s="705"/>
      <c r="BE18" s="705"/>
      <c r="BF18" s="705"/>
      <c r="BG18" s="705"/>
      <c r="BH18" s="705"/>
      <c r="BI18" s="705"/>
      <c r="BJ18" s="705"/>
      <c r="BK18" s="705"/>
      <c r="BL18" s="705"/>
      <c r="BM18" s="705"/>
      <c r="BN18" s="705"/>
      <c r="BO18" s="705"/>
      <c r="BP18" s="705"/>
      <c r="BQ18" s="705"/>
      <c r="BR18" s="705"/>
      <c r="BS18" s="705"/>
      <c r="BT18" s="705"/>
      <c r="BU18" s="705"/>
      <c r="BV18" s="705"/>
      <c r="BW18" s="705"/>
      <c r="BX18" s="705"/>
      <c r="BY18" s="705"/>
      <c r="BZ18" s="705"/>
      <c r="CA18" s="705"/>
      <c r="CB18" s="705"/>
      <c r="CC18" s="705"/>
      <c r="CD18" s="705"/>
      <c r="CE18" s="705"/>
      <c r="CF18" s="705"/>
      <c r="CG18" s="705"/>
      <c r="CH18" s="705"/>
      <c r="CI18" s="705"/>
      <c r="CJ18" s="705"/>
      <c r="CK18" s="705"/>
      <c r="CL18" s="705"/>
      <c r="CM18" s="705"/>
      <c r="CN18" s="705"/>
      <c r="CO18" s="705"/>
      <c r="CP18" s="705"/>
      <c r="CQ18" s="705"/>
      <c r="CR18" s="705"/>
      <c r="CS18" s="705"/>
      <c r="CT18" s="705"/>
      <c r="CU18" s="705"/>
      <c r="CV18" s="705"/>
      <c r="CW18" s="705"/>
      <c r="CX18" s="705"/>
      <c r="CY18" s="705"/>
      <c r="CZ18" s="705"/>
      <c r="DA18" s="705"/>
      <c r="DB18" s="705"/>
      <c r="DC18" s="705"/>
      <c r="DD18" s="705"/>
      <c r="DE18" s="705"/>
      <c r="DF18" s="705"/>
      <c r="DG18" s="705"/>
      <c r="DH18" s="705"/>
      <c r="DI18" s="705"/>
      <c r="DJ18" s="705"/>
      <c r="DK18" s="705"/>
      <c r="DL18" s="705"/>
      <c r="DM18" s="705"/>
      <c r="DN18" s="705"/>
      <c r="DO18" s="705"/>
      <c r="DP18" s="705"/>
      <c r="DQ18" s="705"/>
      <c r="DR18" s="705"/>
      <c r="DS18" s="705"/>
      <c r="DT18" s="705"/>
      <c r="DU18" s="705"/>
      <c r="DV18" s="705"/>
      <c r="DW18" s="705"/>
      <c r="DX18" s="705"/>
      <c r="DY18" s="705"/>
      <c r="DZ18" s="705"/>
      <c r="EA18" s="705"/>
      <c r="EB18" s="705"/>
      <c r="EC18" s="705"/>
      <c r="ED18" s="705"/>
      <c r="EE18" s="705"/>
      <c r="EF18" s="705"/>
      <c r="EG18" s="705"/>
      <c r="EH18" s="705"/>
      <c r="EI18" s="705"/>
      <c r="EJ18" s="705"/>
      <c r="EK18" s="705"/>
      <c r="EL18" s="705"/>
      <c r="EM18" s="705"/>
      <c r="EN18" s="705"/>
      <c r="EO18" s="705"/>
      <c r="EP18" s="705"/>
      <c r="EQ18" s="705"/>
      <c r="ER18" s="705"/>
      <c r="ES18" s="705"/>
      <c r="ET18" s="705"/>
      <c r="EU18" s="705"/>
      <c r="EV18" s="705"/>
      <c r="EW18" s="705"/>
      <c r="EX18" s="705"/>
      <c r="EY18" s="705"/>
      <c r="EZ18" s="705"/>
      <c r="FA18" s="705"/>
      <c r="FB18" s="705"/>
      <c r="FC18" s="705"/>
      <c r="FD18" s="705"/>
      <c r="FE18" s="705"/>
      <c r="FF18" s="705"/>
      <c r="FG18" s="705"/>
      <c r="FH18" s="705"/>
      <c r="FI18" s="705"/>
      <c r="FJ18" s="705"/>
      <c r="FK18" s="705"/>
      <c r="FL18" s="705"/>
      <c r="FM18" s="705"/>
      <c r="FN18" s="705"/>
      <c r="FO18" s="705"/>
      <c r="FP18" s="705"/>
      <c r="FQ18" s="705"/>
      <c r="FR18" s="705"/>
      <c r="FS18" s="705"/>
      <c r="FT18" s="705"/>
      <c r="FU18" s="705"/>
      <c r="FV18" s="705"/>
      <c r="FW18" s="705"/>
      <c r="FX18" s="705"/>
      <c r="FY18" s="705"/>
      <c r="FZ18" s="705"/>
      <c r="GA18" s="705"/>
      <c r="GB18" s="705"/>
      <c r="GC18" s="705"/>
      <c r="GD18" s="705"/>
      <c r="GE18" s="705"/>
      <c r="GF18" s="705"/>
      <c r="GG18" s="705"/>
      <c r="GH18" s="705"/>
      <c r="GI18" s="705"/>
      <c r="GJ18" s="705"/>
      <c r="GK18" s="705"/>
      <c r="GL18" s="705"/>
      <c r="GM18" s="705"/>
      <c r="GN18" s="705"/>
      <c r="GO18" s="705"/>
      <c r="GP18" s="705"/>
      <c r="GQ18" s="705"/>
      <c r="GR18" s="705"/>
      <c r="GS18" s="705"/>
      <c r="GT18" s="705"/>
      <c r="GU18" s="705"/>
      <c r="GV18" s="705"/>
      <c r="GW18" s="705"/>
      <c r="GX18" s="705"/>
      <c r="GY18" s="705"/>
      <c r="GZ18" s="705"/>
      <c r="HA18" s="705"/>
      <c r="HB18" s="705"/>
      <c r="HC18" s="705"/>
      <c r="HD18" s="705"/>
      <c r="HE18" s="705"/>
      <c r="HF18" s="705"/>
      <c r="HG18" s="705"/>
      <c r="HH18" s="705"/>
      <c r="HI18" s="705"/>
      <c r="HJ18" s="705"/>
      <c r="HK18" s="705"/>
      <c r="HL18" s="705"/>
      <c r="HM18" s="705"/>
      <c r="HN18" s="705"/>
      <c r="HO18" s="705"/>
      <c r="HP18" s="705"/>
      <c r="HQ18" s="705"/>
      <c r="HR18" s="705"/>
      <c r="HS18" s="705"/>
      <c r="HT18" s="705"/>
      <c r="HU18" s="705"/>
      <c r="HV18" s="705"/>
      <c r="HW18" s="705"/>
    </row>
    <row r="19" spans="1:231" ht="14.1" customHeight="1">
      <c r="A19" s="712" t="s">
        <v>406</v>
      </c>
      <c r="B19" s="699"/>
      <c r="C19" s="699"/>
      <c r="D19" s="700"/>
      <c r="E19" s="731"/>
      <c r="F19" s="700"/>
      <c r="G19" s="700"/>
      <c r="H19" s="700"/>
      <c r="I19" s="700"/>
      <c r="J19" s="700"/>
      <c r="K19" s="755"/>
      <c r="L19" s="705"/>
      <c r="M19" s="705"/>
      <c r="N19" s="705"/>
      <c r="O19" s="704"/>
      <c r="P19" s="704"/>
      <c r="Q19" s="704"/>
      <c r="R19" s="704"/>
      <c r="S19" s="704"/>
      <c r="T19" s="704"/>
      <c r="U19" s="704"/>
      <c r="V19" s="704"/>
      <c r="W19" s="704"/>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c r="AU19" s="705"/>
      <c r="AV19" s="705"/>
      <c r="AW19" s="705"/>
      <c r="AX19" s="705"/>
      <c r="AY19" s="705"/>
      <c r="AZ19" s="705"/>
      <c r="BA19" s="705"/>
      <c r="BB19" s="705"/>
      <c r="BC19" s="705"/>
      <c r="BD19" s="705"/>
      <c r="BE19" s="705"/>
      <c r="BF19" s="705"/>
      <c r="BG19" s="705"/>
      <c r="BH19" s="705"/>
      <c r="BI19" s="705"/>
      <c r="BJ19" s="705"/>
      <c r="BK19" s="705"/>
      <c r="BL19" s="705"/>
      <c r="BM19" s="705"/>
      <c r="BN19" s="705"/>
      <c r="BO19" s="705"/>
      <c r="BP19" s="705"/>
      <c r="BQ19" s="705"/>
      <c r="BR19" s="705"/>
      <c r="BS19" s="705"/>
      <c r="BT19" s="705"/>
      <c r="BU19" s="705"/>
      <c r="BV19" s="705"/>
      <c r="BW19" s="705"/>
      <c r="BX19" s="705"/>
      <c r="BY19" s="705"/>
      <c r="BZ19" s="705"/>
      <c r="CA19" s="705"/>
      <c r="CB19" s="705"/>
      <c r="CC19" s="705"/>
      <c r="CD19" s="705"/>
      <c r="CE19" s="705"/>
      <c r="CF19" s="705"/>
      <c r="CG19" s="705"/>
      <c r="CH19" s="705"/>
      <c r="CI19" s="705"/>
      <c r="CJ19" s="705"/>
      <c r="CK19" s="705"/>
      <c r="CL19" s="705"/>
      <c r="CM19" s="705"/>
      <c r="CN19" s="705"/>
      <c r="CO19" s="705"/>
      <c r="CP19" s="705"/>
      <c r="CQ19" s="705"/>
      <c r="CR19" s="705"/>
      <c r="CS19" s="705"/>
      <c r="CT19" s="705"/>
      <c r="CU19" s="705"/>
      <c r="CV19" s="705"/>
      <c r="CW19" s="705"/>
      <c r="CX19" s="705"/>
      <c r="CY19" s="705"/>
      <c r="CZ19" s="705"/>
      <c r="DA19" s="705"/>
      <c r="DB19" s="705"/>
      <c r="DC19" s="705"/>
      <c r="DD19" s="705"/>
      <c r="DE19" s="705"/>
      <c r="DF19" s="705"/>
      <c r="DG19" s="705"/>
      <c r="DH19" s="705"/>
      <c r="DI19" s="705"/>
      <c r="DJ19" s="705"/>
      <c r="DK19" s="705"/>
      <c r="DL19" s="705"/>
      <c r="DM19" s="705"/>
      <c r="DN19" s="705"/>
      <c r="DO19" s="705"/>
      <c r="DP19" s="705"/>
      <c r="DQ19" s="705"/>
      <c r="DR19" s="705"/>
      <c r="DS19" s="705"/>
      <c r="DT19" s="705"/>
      <c r="DU19" s="705"/>
      <c r="DV19" s="705"/>
      <c r="DW19" s="705"/>
      <c r="DX19" s="705"/>
      <c r="DY19" s="705"/>
      <c r="DZ19" s="705"/>
      <c r="EA19" s="705"/>
      <c r="EB19" s="705"/>
      <c r="EC19" s="705"/>
      <c r="ED19" s="705"/>
      <c r="EE19" s="705"/>
      <c r="EF19" s="705"/>
      <c r="EG19" s="705"/>
      <c r="EH19" s="705"/>
      <c r="EI19" s="705"/>
      <c r="EJ19" s="705"/>
      <c r="EK19" s="705"/>
      <c r="EL19" s="705"/>
      <c r="EM19" s="705"/>
      <c r="EN19" s="705"/>
      <c r="EO19" s="705"/>
      <c r="EP19" s="705"/>
      <c r="EQ19" s="705"/>
      <c r="ER19" s="705"/>
      <c r="ES19" s="705"/>
      <c r="ET19" s="705"/>
      <c r="EU19" s="705"/>
      <c r="EV19" s="705"/>
      <c r="EW19" s="705"/>
      <c r="EX19" s="705"/>
      <c r="EY19" s="705"/>
      <c r="EZ19" s="705"/>
      <c r="FA19" s="705"/>
      <c r="FB19" s="705"/>
      <c r="FC19" s="705"/>
      <c r="FD19" s="705"/>
      <c r="FE19" s="705"/>
      <c r="FF19" s="705"/>
      <c r="FG19" s="705"/>
      <c r="FH19" s="705"/>
      <c r="FI19" s="705"/>
      <c r="FJ19" s="705"/>
      <c r="FK19" s="705"/>
      <c r="FL19" s="705"/>
      <c r="FM19" s="705"/>
      <c r="FN19" s="705"/>
      <c r="FO19" s="705"/>
      <c r="FP19" s="705"/>
      <c r="FQ19" s="705"/>
      <c r="FR19" s="705"/>
      <c r="FS19" s="705"/>
      <c r="FT19" s="705"/>
      <c r="FU19" s="705"/>
      <c r="FV19" s="705"/>
      <c r="FW19" s="705"/>
      <c r="FX19" s="705"/>
      <c r="FY19" s="705"/>
      <c r="FZ19" s="705"/>
      <c r="GA19" s="705"/>
      <c r="GB19" s="705"/>
      <c r="GC19" s="705"/>
      <c r="GD19" s="705"/>
      <c r="GE19" s="705"/>
      <c r="GF19" s="705"/>
      <c r="GG19" s="705"/>
      <c r="GH19" s="705"/>
      <c r="GI19" s="705"/>
      <c r="GJ19" s="705"/>
      <c r="GK19" s="705"/>
      <c r="GL19" s="705"/>
      <c r="GM19" s="705"/>
      <c r="GN19" s="705"/>
      <c r="GO19" s="705"/>
      <c r="GP19" s="705"/>
      <c r="GQ19" s="705"/>
      <c r="GR19" s="705"/>
      <c r="GS19" s="705"/>
      <c r="GT19" s="705"/>
      <c r="GU19" s="705"/>
      <c r="GV19" s="705"/>
      <c r="GW19" s="705"/>
      <c r="GX19" s="705"/>
      <c r="GY19" s="705"/>
      <c r="GZ19" s="705"/>
      <c r="HA19" s="705"/>
      <c r="HB19" s="705"/>
      <c r="HC19" s="705"/>
      <c r="HD19" s="705"/>
      <c r="HE19" s="705"/>
      <c r="HF19" s="705"/>
      <c r="HG19" s="705"/>
      <c r="HH19" s="705"/>
      <c r="HI19" s="705"/>
      <c r="HJ19" s="705"/>
      <c r="HK19" s="705"/>
      <c r="HL19" s="705"/>
      <c r="HM19" s="705"/>
      <c r="HN19" s="705"/>
      <c r="HO19" s="705"/>
      <c r="HP19" s="705"/>
      <c r="HQ19" s="705"/>
      <c r="HR19" s="705"/>
      <c r="HS19" s="705"/>
      <c r="HT19" s="705"/>
      <c r="HU19" s="705"/>
      <c r="HV19" s="705"/>
      <c r="HW19" s="705"/>
    </row>
    <row r="20" spans="1:231" ht="15.6" customHeight="1">
      <c r="A20" s="719" t="s">
        <v>424</v>
      </c>
      <c r="B20" s="6">
        <v>6449000</v>
      </c>
      <c r="C20" s="6">
        <f>ROUND(4724757.12,-3)</f>
        <v>4725000</v>
      </c>
      <c r="D20" s="700"/>
      <c r="E20" s="721">
        <f t="shared" ref="E20:E36" si="1">(C20/B20)-1</f>
        <v>-0.26732826794851916</v>
      </c>
      <c r="F20" s="722"/>
      <c r="G20" s="700"/>
      <c r="H20" s="700"/>
      <c r="I20" s="700"/>
      <c r="J20" s="700"/>
      <c r="K20" s="755"/>
      <c r="L20" s="705"/>
      <c r="M20" s="705"/>
      <c r="N20" s="705"/>
      <c r="O20" s="704"/>
      <c r="P20" s="704"/>
      <c r="Q20" s="704"/>
      <c r="R20" s="704"/>
      <c r="S20" s="704"/>
      <c r="T20" s="704"/>
      <c r="U20" s="704"/>
      <c r="V20" s="704"/>
      <c r="W20" s="704"/>
      <c r="X20" s="705"/>
      <c r="Y20" s="705"/>
      <c r="Z20" s="705"/>
      <c r="AA20" s="705"/>
      <c r="AB20" s="705"/>
      <c r="AC20" s="705"/>
      <c r="AD20" s="705"/>
      <c r="AE20" s="705"/>
      <c r="AF20" s="705"/>
      <c r="AG20" s="705"/>
      <c r="AH20" s="705"/>
      <c r="AI20" s="705"/>
      <c r="AJ20" s="705"/>
      <c r="AK20" s="705"/>
      <c r="AL20" s="705"/>
      <c r="AM20" s="705"/>
      <c r="AN20" s="705"/>
      <c r="AO20" s="705"/>
      <c r="AP20" s="705"/>
      <c r="AQ20" s="705"/>
      <c r="AR20" s="705"/>
      <c r="AS20" s="705"/>
      <c r="AT20" s="705"/>
      <c r="AU20" s="705"/>
      <c r="AV20" s="705"/>
      <c r="AW20" s="705"/>
      <c r="AX20" s="705"/>
      <c r="AY20" s="705"/>
      <c r="AZ20" s="705"/>
      <c r="BA20" s="705"/>
      <c r="BB20" s="705"/>
      <c r="BC20" s="705"/>
      <c r="BD20" s="705"/>
      <c r="BE20" s="705"/>
      <c r="BF20" s="705"/>
      <c r="BG20" s="705"/>
      <c r="BH20" s="705"/>
      <c r="BI20" s="705"/>
      <c r="BJ20" s="705"/>
      <c r="BK20" s="705"/>
      <c r="BL20" s="705"/>
      <c r="BM20" s="705"/>
      <c r="BN20" s="705"/>
      <c r="BO20" s="705"/>
      <c r="BP20" s="705"/>
      <c r="BQ20" s="705"/>
      <c r="BR20" s="705"/>
      <c r="BS20" s="705"/>
      <c r="BT20" s="705"/>
      <c r="BU20" s="705"/>
      <c r="BV20" s="705"/>
      <c r="BW20" s="705"/>
      <c r="BX20" s="705"/>
      <c r="BY20" s="705"/>
      <c r="BZ20" s="705"/>
      <c r="CA20" s="705"/>
      <c r="CB20" s="705"/>
      <c r="CC20" s="705"/>
      <c r="CD20" s="705"/>
      <c r="CE20" s="705"/>
      <c r="CF20" s="705"/>
      <c r="CG20" s="705"/>
      <c r="CH20" s="705"/>
      <c r="CI20" s="705"/>
      <c r="CJ20" s="705"/>
      <c r="CK20" s="705"/>
      <c r="CL20" s="705"/>
      <c r="CM20" s="705"/>
      <c r="CN20" s="705"/>
      <c r="CO20" s="705"/>
      <c r="CP20" s="705"/>
      <c r="CQ20" s="705"/>
      <c r="CR20" s="705"/>
      <c r="CS20" s="705"/>
      <c r="CT20" s="705"/>
      <c r="CU20" s="705"/>
      <c r="CV20" s="705"/>
      <c r="CW20" s="705"/>
      <c r="CX20" s="705"/>
      <c r="CY20" s="705"/>
      <c r="CZ20" s="705"/>
      <c r="DA20" s="705"/>
      <c r="DB20" s="705"/>
      <c r="DC20" s="705"/>
      <c r="DD20" s="705"/>
      <c r="DE20" s="705"/>
      <c r="DF20" s="705"/>
      <c r="DG20" s="705"/>
      <c r="DH20" s="705"/>
      <c r="DI20" s="705"/>
      <c r="DJ20" s="705"/>
      <c r="DK20" s="705"/>
      <c r="DL20" s="705"/>
      <c r="DM20" s="705"/>
      <c r="DN20" s="705"/>
      <c r="DO20" s="705"/>
      <c r="DP20" s="705"/>
      <c r="DQ20" s="705"/>
      <c r="DR20" s="705"/>
      <c r="DS20" s="705"/>
      <c r="DT20" s="705"/>
      <c r="DU20" s="705"/>
      <c r="DV20" s="705"/>
      <c r="DW20" s="705"/>
      <c r="DX20" s="705"/>
      <c r="DY20" s="705"/>
      <c r="DZ20" s="705"/>
      <c r="EA20" s="705"/>
      <c r="EB20" s="705"/>
      <c r="EC20" s="705"/>
      <c r="ED20" s="705"/>
      <c r="EE20" s="705"/>
      <c r="EF20" s="705"/>
      <c r="EG20" s="705"/>
      <c r="EH20" s="705"/>
      <c r="EI20" s="705"/>
      <c r="EJ20" s="705"/>
      <c r="EK20" s="705"/>
      <c r="EL20" s="705"/>
      <c r="EM20" s="705"/>
      <c r="EN20" s="705"/>
      <c r="EO20" s="705"/>
      <c r="EP20" s="705"/>
      <c r="EQ20" s="705"/>
      <c r="ER20" s="705"/>
      <c r="ES20" s="705"/>
      <c r="ET20" s="705"/>
      <c r="EU20" s="705"/>
      <c r="EV20" s="705"/>
      <c r="EW20" s="705"/>
      <c r="EX20" s="705"/>
      <c r="EY20" s="705"/>
      <c r="EZ20" s="705"/>
      <c r="FA20" s="705"/>
      <c r="FB20" s="705"/>
      <c r="FC20" s="705"/>
      <c r="FD20" s="705"/>
      <c r="FE20" s="705"/>
      <c r="FF20" s="705"/>
      <c r="FG20" s="705"/>
      <c r="FH20" s="705"/>
      <c r="FI20" s="705"/>
      <c r="FJ20" s="705"/>
      <c r="FK20" s="705"/>
      <c r="FL20" s="705"/>
      <c r="FM20" s="705"/>
      <c r="FN20" s="705"/>
      <c r="FO20" s="705"/>
      <c r="FP20" s="705"/>
      <c r="FQ20" s="705"/>
      <c r="FR20" s="705"/>
      <c r="FS20" s="705"/>
      <c r="FT20" s="705"/>
      <c r="FU20" s="705"/>
      <c r="FV20" s="705"/>
      <c r="FW20" s="705"/>
      <c r="FX20" s="705"/>
      <c r="FY20" s="705"/>
      <c r="FZ20" s="705"/>
      <c r="GA20" s="705"/>
      <c r="GB20" s="705"/>
      <c r="GC20" s="705"/>
      <c r="GD20" s="705"/>
      <c r="GE20" s="705"/>
      <c r="GF20" s="705"/>
      <c r="GG20" s="705"/>
      <c r="GH20" s="705"/>
      <c r="GI20" s="705"/>
      <c r="GJ20" s="705"/>
      <c r="GK20" s="705"/>
      <c r="GL20" s="705"/>
      <c r="GM20" s="705"/>
      <c r="GN20" s="705"/>
      <c r="GO20" s="705"/>
      <c r="GP20" s="705"/>
      <c r="GQ20" s="705"/>
      <c r="GR20" s="705"/>
      <c r="GS20" s="705"/>
      <c r="GT20" s="705"/>
      <c r="GU20" s="705"/>
      <c r="GV20" s="705"/>
      <c r="GW20" s="705"/>
      <c r="GX20" s="705"/>
      <c r="GY20" s="705"/>
      <c r="GZ20" s="705"/>
      <c r="HA20" s="705"/>
      <c r="HB20" s="705"/>
      <c r="HC20" s="705"/>
      <c r="HD20" s="705"/>
      <c r="HE20" s="705"/>
      <c r="HF20" s="705"/>
      <c r="HG20" s="705"/>
      <c r="HH20" s="705"/>
      <c r="HI20" s="705"/>
      <c r="HJ20" s="705"/>
      <c r="HK20" s="705"/>
      <c r="HL20" s="705"/>
      <c r="HM20" s="705"/>
      <c r="HN20" s="705"/>
      <c r="HO20" s="705"/>
      <c r="HP20" s="705"/>
      <c r="HQ20" s="705"/>
      <c r="HR20" s="705"/>
      <c r="HS20" s="705"/>
      <c r="HT20" s="705"/>
      <c r="HU20" s="705"/>
      <c r="HV20" s="705"/>
      <c r="HW20" s="705"/>
    </row>
    <row r="21" spans="1:231" ht="15.6" customHeight="1">
      <c r="A21" s="719" t="s">
        <v>425</v>
      </c>
      <c r="B21" s="7">
        <v>155719000</v>
      </c>
      <c r="C21" s="7">
        <f>ROUND(173910917.18,-3)</f>
        <v>173911000</v>
      </c>
      <c r="D21" s="700"/>
      <c r="E21" s="721">
        <f t="shared" si="1"/>
        <v>0.11682582086964333</v>
      </c>
      <c r="F21" s="722"/>
      <c r="G21" s="700"/>
      <c r="H21" s="700"/>
      <c r="I21" s="700"/>
      <c r="J21" s="700"/>
      <c r="K21" s="756"/>
      <c r="L21" s="705"/>
      <c r="M21" s="757"/>
      <c r="N21" s="705"/>
      <c r="O21" s="704"/>
      <c r="P21" s="704"/>
      <c r="Q21" s="704"/>
      <c r="R21" s="704"/>
      <c r="S21" s="704"/>
      <c r="T21" s="704"/>
      <c r="U21" s="704"/>
      <c r="V21" s="704"/>
      <c r="W21" s="704"/>
      <c r="X21" s="705"/>
      <c r="Y21" s="705"/>
      <c r="Z21" s="705"/>
      <c r="AA21" s="705"/>
      <c r="AB21" s="705"/>
      <c r="AC21" s="705"/>
      <c r="AD21" s="705"/>
      <c r="AE21" s="705"/>
      <c r="AF21" s="705"/>
      <c r="AG21" s="705"/>
      <c r="AH21" s="705"/>
      <c r="AI21" s="705"/>
      <c r="AJ21" s="705"/>
      <c r="AK21" s="705"/>
      <c r="AL21" s="705"/>
      <c r="AM21" s="705"/>
      <c r="AN21" s="705"/>
      <c r="AO21" s="705"/>
      <c r="AP21" s="705"/>
      <c r="AQ21" s="705"/>
      <c r="AR21" s="705"/>
      <c r="AS21" s="705"/>
      <c r="AT21" s="705"/>
      <c r="AU21" s="705"/>
      <c r="AV21" s="705"/>
      <c r="AW21" s="705"/>
      <c r="AX21" s="705"/>
      <c r="AY21" s="705"/>
      <c r="AZ21" s="705"/>
      <c r="BA21" s="705"/>
      <c r="BB21" s="705"/>
      <c r="BC21" s="705"/>
      <c r="BD21" s="705"/>
      <c r="BE21" s="705"/>
      <c r="BF21" s="705"/>
      <c r="BG21" s="705"/>
      <c r="BH21" s="705"/>
      <c r="BI21" s="705"/>
      <c r="BJ21" s="705"/>
      <c r="BK21" s="705"/>
      <c r="BL21" s="705"/>
      <c r="BM21" s="705"/>
      <c r="BN21" s="705"/>
      <c r="BO21" s="705"/>
      <c r="BP21" s="705"/>
      <c r="BQ21" s="705"/>
      <c r="BR21" s="705"/>
      <c r="BS21" s="705"/>
      <c r="BT21" s="705"/>
      <c r="BU21" s="705"/>
      <c r="BV21" s="705"/>
      <c r="BW21" s="705"/>
      <c r="BX21" s="705"/>
      <c r="BY21" s="705"/>
      <c r="BZ21" s="705"/>
      <c r="CA21" s="705"/>
      <c r="CB21" s="705"/>
      <c r="CC21" s="705"/>
      <c r="CD21" s="705"/>
      <c r="CE21" s="705"/>
      <c r="CF21" s="705"/>
      <c r="CG21" s="705"/>
      <c r="CH21" s="705"/>
      <c r="CI21" s="705"/>
      <c r="CJ21" s="705"/>
      <c r="CK21" s="705"/>
      <c r="CL21" s="705"/>
      <c r="CM21" s="705"/>
      <c r="CN21" s="705"/>
      <c r="CO21" s="705"/>
      <c r="CP21" s="705"/>
      <c r="CQ21" s="705"/>
      <c r="CR21" s="705"/>
      <c r="CS21" s="705"/>
      <c r="CT21" s="705"/>
      <c r="CU21" s="705"/>
      <c r="CV21" s="705"/>
      <c r="CW21" s="705"/>
      <c r="CX21" s="705"/>
      <c r="CY21" s="705"/>
      <c r="CZ21" s="705"/>
      <c r="DA21" s="705"/>
      <c r="DB21" s="705"/>
      <c r="DC21" s="705"/>
      <c r="DD21" s="705"/>
      <c r="DE21" s="705"/>
      <c r="DF21" s="705"/>
      <c r="DG21" s="705"/>
      <c r="DH21" s="705"/>
      <c r="DI21" s="705"/>
      <c r="DJ21" s="705"/>
      <c r="DK21" s="705"/>
      <c r="DL21" s="705"/>
      <c r="DM21" s="705"/>
      <c r="DN21" s="705"/>
      <c r="DO21" s="705"/>
      <c r="DP21" s="705"/>
      <c r="DQ21" s="705"/>
      <c r="DR21" s="705"/>
      <c r="DS21" s="705"/>
      <c r="DT21" s="705"/>
      <c r="DU21" s="705"/>
      <c r="DV21" s="705"/>
      <c r="DW21" s="705"/>
      <c r="DX21" s="705"/>
      <c r="DY21" s="705"/>
      <c r="DZ21" s="705"/>
      <c r="EA21" s="705"/>
      <c r="EB21" s="705"/>
      <c r="EC21" s="705"/>
      <c r="ED21" s="705"/>
      <c r="EE21" s="705"/>
      <c r="EF21" s="705"/>
      <c r="EG21" s="705"/>
      <c r="EH21" s="705"/>
      <c r="EI21" s="705"/>
      <c r="EJ21" s="705"/>
      <c r="EK21" s="705"/>
      <c r="EL21" s="705"/>
      <c r="EM21" s="705"/>
      <c r="EN21" s="705"/>
      <c r="EO21" s="705"/>
      <c r="EP21" s="705"/>
      <c r="EQ21" s="705"/>
      <c r="ER21" s="705"/>
      <c r="ES21" s="705"/>
      <c r="ET21" s="705"/>
      <c r="EU21" s="705"/>
      <c r="EV21" s="705"/>
      <c r="EW21" s="705"/>
      <c r="EX21" s="705"/>
      <c r="EY21" s="705"/>
      <c r="EZ21" s="705"/>
      <c r="FA21" s="705"/>
      <c r="FB21" s="705"/>
      <c r="FC21" s="705"/>
      <c r="FD21" s="705"/>
      <c r="FE21" s="705"/>
      <c r="FF21" s="705"/>
      <c r="FG21" s="705"/>
      <c r="FH21" s="705"/>
      <c r="FI21" s="705"/>
      <c r="FJ21" s="705"/>
      <c r="FK21" s="705"/>
      <c r="FL21" s="705"/>
      <c r="FM21" s="705"/>
      <c r="FN21" s="705"/>
      <c r="FO21" s="705"/>
      <c r="FP21" s="705"/>
      <c r="FQ21" s="705"/>
      <c r="FR21" s="705"/>
      <c r="FS21" s="705"/>
      <c r="FT21" s="705"/>
      <c r="FU21" s="705"/>
      <c r="FV21" s="705"/>
      <c r="FW21" s="705"/>
      <c r="FX21" s="705"/>
      <c r="FY21" s="705"/>
      <c r="FZ21" s="705"/>
      <c r="GA21" s="705"/>
      <c r="GB21" s="705"/>
      <c r="GC21" s="705"/>
      <c r="GD21" s="705"/>
      <c r="GE21" s="705"/>
      <c r="GF21" s="705"/>
      <c r="GG21" s="705"/>
      <c r="GH21" s="705"/>
      <c r="GI21" s="705"/>
      <c r="GJ21" s="705"/>
      <c r="GK21" s="705"/>
      <c r="GL21" s="705"/>
      <c r="GM21" s="705"/>
      <c r="GN21" s="705"/>
      <c r="GO21" s="705"/>
      <c r="GP21" s="705"/>
      <c r="GQ21" s="705"/>
      <c r="GR21" s="705"/>
      <c r="GS21" s="705"/>
      <c r="GT21" s="705"/>
      <c r="GU21" s="705"/>
      <c r="GV21" s="705"/>
      <c r="GW21" s="705"/>
      <c r="GX21" s="705"/>
      <c r="GY21" s="705"/>
      <c r="GZ21" s="705"/>
      <c r="HA21" s="705"/>
      <c r="HB21" s="705"/>
      <c r="HC21" s="705"/>
      <c r="HD21" s="705"/>
      <c r="HE21" s="705"/>
      <c r="HF21" s="705"/>
      <c r="HG21" s="705"/>
      <c r="HH21" s="705"/>
      <c r="HI21" s="705"/>
      <c r="HJ21" s="705"/>
      <c r="HK21" s="705"/>
      <c r="HL21" s="705"/>
      <c r="HM21" s="705"/>
      <c r="HN21" s="705"/>
      <c r="HO21" s="705"/>
      <c r="HP21" s="705"/>
      <c r="HQ21" s="705"/>
      <c r="HR21" s="705"/>
      <c r="HS21" s="705"/>
      <c r="HT21" s="705"/>
      <c r="HU21" s="705"/>
      <c r="HV21" s="705"/>
      <c r="HW21" s="705"/>
    </row>
    <row r="22" spans="1:231" ht="15.6" customHeight="1">
      <c r="A22" s="719" t="s">
        <v>427</v>
      </c>
      <c r="B22" s="7">
        <v>18012000</v>
      </c>
      <c r="C22" s="7">
        <f>ROUND(18541582.66,-3)</f>
        <v>18542000</v>
      </c>
      <c r="D22" s="700"/>
      <c r="E22" s="721">
        <f t="shared" si="1"/>
        <v>2.9424827892515992E-2</v>
      </c>
      <c r="F22" s="722"/>
      <c r="G22" s="700"/>
      <c r="H22" s="700"/>
      <c r="I22" s="700"/>
      <c r="J22" s="700"/>
      <c r="K22" s="756"/>
      <c r="L22" s="986"/>
      <c r="M22" s="987"/>
      <c r="N22" s="986"/>
      <c r="O22" s="986"/>
      <c r="P22" s="704"/>
      <c r="Q22" s="704"/>
      <c r="R22" s="704"/>
      <c r="S22" s="704"/>
      <c r="T22" s="704"/>
      <c r="U22" s="704"/>
      <c r="V22" s="704"/>
      <c r="W22" s="704"/>
      <c r="X22" s="705"/>
      <c r="Y22" s="705"/>
      <c r="Z22" s="705"/>
      <c r="AA22" s="705"/>
      <c r="AB22" s="705"/>
      <c r="AC22" s="705"/>
      <c r="AD22" s="705"/>
      <c r="AE22" s="705"/>
      <c r="AF22" s="705"/>
      <c r="AG22" s="705"/>
      <c r="AH22" s="705"/>
      <c r="AI22" s="705"/>
      <c r="AJ22" s="705"/>
      <c r="AK22" s="705"/>
      <c r="AL22" s="705"/>
      <c r="AM22" s="705"/>
      <c r="AN22" s="705"/>
      <c r="AO22" s="705"/>
      <c r="AP22" s="705"/>
      <c r="AQ22" s="705"/>
      <c r="AR22" s="705"/>
      <c r="AS22" s="705"/>
      <c r="AT22" s="705"/>
      <c r="AU22" s="705"/>
      <c r="AV22" s="705"/>
      <c r="AW22" s="705"/>
      <c r="AX22" s="705"/>
      <c r="AY22" s="705"/>
      <c r="AZ22" s="705"/>
      <c r="BA22" s="705"/>
      <c r="BB22" s="705"/>
      <c r="BC22" s="705"/>
      <c r="BD22" s="705"/>
      <c r="BE22" s="705"/>
      <c r="BF22" s="705"/>
      <c r="BG22" s="705"/>
      <c r="BH22" s="705"/>
      <c r="BI22" s="705"/>
      <c r="BJ22" s="705"/>
      <c r="BK22" s="705"/>
      <c r="BL22" s="705"/>
      <c r="BM22" s="705"/>
      <c r="BN22" s="705"/>
      <c r="BO22" s="705"/>
      <c r="BP22" s="705"/>
      <c r="BQ22" s="705"/>
      <c r="BR22" s="705"/>
      <c r="BS22" s="705"/>
      <c r="BT22" s="705"/>
      <c r="BU22" s="705"/>
      <c r="BV22" s="705"/>
      <c r="BW22" s="705"/>
      <c r="BX22" s="705"/>
      <c r="BY22" s="705"/>
      <c r="BZ22" s="705"/>
      <c r="CA22" s="705"/>
      <c r="CB22" s="705"/>
      <c r="CC22" s="705"/>
      <c r="CD22" s="705"/>
      <c r="CE22" s="705"/>
      <c r="CF22" s="705"/>
      <c r="CG22" s="705"/>
      <c r="CH22" s="705"/>
      <c r="CI22" s="705"/>
      <c r="CJ22" s="705"/>
      <c r="CK22" s="705"/>
      <c r="CL22" s="705"/>
      <c r="CM22" s="705"/>
      <c r="CN22" s="705"/>
      <c r="CO22" s="705"/>
      <c r="CP22" s="705"/>
      <c r="CQ22" s="705"/>
      <c r="CR22" s="705"/>
      <c r="CS22" s="705"/>
      <c r="CT22" s="705"/>
      <c r="CU22" s="705"/>
      <c r="CV22" s="705"/>
      <c r="CW22" s="705"/>
      <c r="CX22" s="705"/>
      <c r="CY22" s="705"/>
      <c r="CZ22" s="705"/>
      <c r="DA22" s="705"/>
      <c r="DB22" s="705"/>
      <c r="DC22" s="705"/>
      <c r="DD22" s="705"/>
      <c r="DE22" s="705"/>
      <c r="DF22" s="705"/>
      <c r="DG22" s="705"/>
      <c r="DH22" s="705"/>
      <c r="DI22" s="705"/>
      <c r="DJ22" s="705"/>
      <c r="DK22" s="705"/>
      <c r="DL22" s="705"/>
      <c r="DM22" s="705"/>
      <c r="DN22" s="705"/>
      <c r="DO22" s="705"/>
      <c r="DP22" s="705"/>
      <c r="DQ22" s="705"/>
      <c r="DR22" s="705"/>
      <c r="DS22" s="705"/>
      <c r="DT22" s="705"/>
      <c r="DU22" s="705"/>
      <c r="DV22" s="705"/>
      <c r="DW22" s="705"/>
      <c r="DX22" s="705"/>
      <c r="DY22" s="705"/>
      <c r="DZ22" s="705"/>
      <c r="EA22" s="705"/>
      <c r="EB22" s="705"/>
      <c r="EC22" s="705"/>
      <c r="ED22" s="705"/>
      <c r="EE22" s="705"/>
      <c r="EF22" s="705"/>
      <c r="EG22" s="705"/>
      <c r="EH22" s="705"/>
      <c r="EI22" s="705"/>
      <c r="EJ22" s="705"/>
      <c r="EK22" s="705"/>
      <c r="EL22" s="705"/>
      <c r="EM22" s="705"/>
      <c r="EN22" s="705"/>
      <c r="EO22" s="705"/>
      <c r="EP22" s="705"/>
      <c r="EQ22" s="705"/>
      <c r="ER22" s="705"/>
      <c r="ES22" s="705"/>
      <c r="ET22" s="705"/>
      <c r="EU22" s="705"/>
      <c r="EV22" s="705"/>
      <c r="EW22" s="705"/>
      <c r="EX22" s="705"/>
      <c r="EY22" s="705"/>
      <c r="EZ22" s="705"/>
      <c r="FA22" s="705"/>
      <c r="FB22" s="705"/>
      <c r="FC22" s="705"/>
      <c r="FD22" s="705"/>
      <c r="FE22" s="705"/>
      <c r="FF22" s="705"/>
      <c r="FG22" s="705"/>
      <c r="FH22" s="705"/>
      <c r="FI22" s="705"/>
      <c r="FJ22" s="705"/>
      <c r="FK22" s="705"/>
      <c r="FL22" s="705"/>
      <c r="FM22" s="705"/>
      <c r="FN22" s="705"/>
      <c r="FO22" s="705"/>
      <c r="FP22" s="705"/>
      <c r="FQ22" s="705"/>
      <c r="FR22" s="705"/>
      <c r="FS22" s="705"/>
      <c r="FT22" s="705"/>
      <c r="FU22" s="705"/>
      <c r="FV22" s="705"/>
      <c r="FW22" s="705"/>
      <c r="FX22" s="705"/>
      <c r="FY22" s="705"/>
      <c r="FZ22" s="705"/>
      <c r="GA22" s="705"/>
      <c r="GB22" s="705"/>
      <c r="GC22" s="705"/>
      <c r="GD22" s="705"/>
      <c r="GE22" s="705"/>
      <c r="GF22" s="705"/>
      <c r="GG22" s="705"/>
      <c r="GH22" s="705"/>
      <c r="GI22" s="705"/>
      <c r="GJ22" s="705"/>
      <c r="GK22" s="705"/>
      <c r="GL22" s="705"/>
      <c r="GM22" s="705"/>
      <c r="GN22" s="705"/>
      <c r="GO22" s="705"/>
      <c r="GP22" s="705"/>
      <c r="GQ22" s="705"/>
      <c r="GR22" s="705"/>
      <c r="GS22" s="705"/>
      <c r="GT22" s="705"/>
      <c r="GU22" s="705"/>
      <c r="GV22" s="705"/>
      <c r="GW22" s="705"/>
      <c r="GX22" s="705"/>
      <c r="GY22" s="705"/>
      <c r="GZ22" s="705"/>
      <c r="HA22" s="705"/>
      <c r="HB22" s="705"/>
      <c r="HC22" s="705"/>
      <c r="HD22" s="705"/>
      <c r="HE22" s="705"/>
      <c r="HF22" s="705"/>
      <c r="HG22" s="705"/>
      <c r="HH22" s="705"/>
      <c r="HI22" s="705"/>
      <c r="HJ22" s="705"/>
      <c r="HK22" s="705"/>
      <c r="HL22" s="705"/>
      <c r="HM22" s="705"/>
      <c r="HN22" s="705"/>
      <c r="HO22" s="705"/>
      <c r="HP22" s="705"/>
      <c r="HQ22" s="705"/>
      <c r="HR22" s="705"/>
      <c r="HS22" s="705"/>
      <c r="HT22" s="705"/>
      <c r="HU22" s="705"/>
      <c r="HV22" s="705"/>
      <c r="HW22" s="705"/>
    </row>
    <row r="23" spans="1:231" ht="15.6" customHeight="1">
      <c r="A23" s="719" t="s">
        <v>428</v>
      </c>
      <c r="B23" s="732">
        <v>151000</v>
      </c>
      <c r="C23" s="732">
        <f>ROUND(148584.25,-3)</f>
        <v>149000</v>
      </c>
      <c r="D23" s="700"/>
      <c r="E23" s="721">
        <f t="shared" si="1"/>
        <v>-1.3245033112582738E-2</v>
      </c>
      <c r="F23" s="722"/>
      <c r="G23" s="700"/>
      <c r="H23" s="700"/>
      <c r="I23" s="700"/>
      <c r="J23" s="700"/>
      <c r="K23" s="756"/>
      <c r="L23" s="986"/>
      <c r="M23" s="987"/>
      <c r="N23" s="986"/>
      <c r="O23" s="986"/>
      <c r="P23" s="704"/>
      <c r="Q23" s="704"/>
      <c r="R23" s="704"/>
      <c r="S23" s="704"/>
      <c r="T23" s="704"/>
      <c r="U23" s="704"/>
      <c r="V23" s="704"/>
      <c r="W23" s="704"/>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c r="AY23" s="705"/>
      <c r="AZ23" s="705"/>
      <c r="BA23" s="705"/>
      <c r="BB23" s="705"/>
      <c r="BC23" s="705"/>
      <c r="BD23" s="705"/>
      <c r="BE23" s="705"/>
      <c r="BF23" s="705"/>
      <c r="BG23" s="705"/>
      <c r="BH23" s="705"/>
      <c r="BI23" s="705"/>
      <c r="BJ23" s="705"/>
      <c r="BK23" s="705"/>
      <c r="BL23" s="705"/>
      <c r="BM23" s="705"/>
      <c r="BN23" s="705"/>
      <c r="BO23" s="705"/>
      <c r="BP23" s="705"/>
      <c r="BQ23" s="705"/>
      <c r="BR23" s="705"/>
      <c r="BS23" s="705"/>
      <c r="BT23" s="705"/>
      <c r="BU23" s="705"/>
      <c r="BV23" s="705"/>
      <c r="BW23" s="705"/>
      <c r="BX23" s="705"/>
      <c r="BY23" s="705"/>
      <c r="BZ23" s="705"/>
      <c r="CA23" s="705"/>
      <c r="CB23" s="705"/>
      <c r="CC23" s="705"/>
      <c r="CD23" s="705"/>
      <c r="CE23" s="705"/>
      <c r="CF23" s="705"/>
      <c r="CG23" s="705"/>
      <c r="CH23" s="705"/>
      <c r="CI23" s="705"/>
      <c r="CJ23" s="705"/>
      <c r="CK23" s="705"/>
      <c r="CL23" s="705"/>
      <c r="CM23" s="705"/>
      <c r="CN23" s="705"/>
      <c r="CO23" s="705"/>
      <c r="CP23" s="705"/>
      <c r="CQ23" s="705"/>
      <c r="CR23" s="705"/>
      <c r="CS23" s="705"/>
      <c r="CT23" s="705"/>
      <c r="CU23" s="705"/>
      <c r="CV23" s="705"/>
      <c r="CW23" s="705"/>
      <c r="CX23" s="705"/>
      <c r="CY23" s="705"/>
      <c r="CZ23" s="705"/>
      <c r="DA23" s="705"/>
      <c r="DB23" s="705"/>
      <c r="DC23" s="705"/>
      <c r="DD23" s="705"/>
      <c r="DE23" s="705"/>
      <c r="DF23" s="705"/>
      <c r="DG23" s="705"/>
      <c r="DH23" s="705"/>
      <c r="DI23" s="705"/>
      <c r="DJ23" s="705"/>
      <c r="DK23" s="705"/>
      <c r="DL23" s="705"/>
      <c r="DM23" s="705"/>
      <c r="DN23" s="705"/>
      <c r="DO23" s="705"/>
      <c r="DP23" s="705"/>
      <c r="DQ23" s="705"/>
      <c r="DR23" s="705"/>
      <c r="DS23" s="705"/>
      <c r="DT23" s="705"/>
      <c r="DU23" s="705"/>
      <c r="DV23" s="705"/>
      <c r="DW23" s="705"/>
      <c r="DX23" s="705"/>
      <c r="DY23" s="705"/>
      <c r="DZ23" s="705"/>
      <c r="EA23" s="705"/>
      <c r="EB23" s="705"/>
      <c r="EC23" s="705"/>
      <c r="ED23" s="705"/>
      <c r="EE23" s="705"/>
      <c r="EF23" s="705"/>
      <c r="EG23" s="705"/>
      <c r="EH23" s="705"/>
      <c r="EI23" s="705"/>
      <c r="EJ23" s="705"/>
      <c r="EK23" s="705"/>
      <c r="EL23" s="705"/>
      <c r="EM23" s="705"/>
      <c r="EN23" s="705"/>
      <c r="EO23" s="705"/>
      <c r="EP23" s="705"/>
      <c r="EQ23" s="705"/>
      <c r="ER23" s="705"/>
      <c r="ES23" s="705"/>
      <c r="ET23" s="705"/>
      <c r="EU23" s="705"/>
      <c r="EV23" s="705"/>
      <c r="EW23" s="705"/>
      <c r="EX23" s="705"/>
      <c r="EY23" s="705"/>
      <c r="EZ23" s="705"/>
      <c r="FA23" s="705"/>
      <c r="FB23" s="705"/>
      <c r="FC23" s="705"/>
      <c r="FD23" s="705"/>
      <c r="FE23" s="705"/>
      <c r="FF23" s="705"/>
      <c r="FG23" s="705"/>
      <c r="FH23" s="705"/>
      <c r="FI23" s="705"/>
      <c r="FJ23" s="705"/>
      <c r="FK23" s="705"/>
      <c r="FL23" s="705"/>
      <c r="FM23" s="705"/>
      <c r="FN23" s="705"/>
      <c r="FO23" s="705"/>
      <c r="FP23" s="705"/>
      <c r="FQ23" s="705"/>
      <c r="FR23" s="705"/>
      <c r="FS23" s="705"/>
      <c r="FT23" s="705"/>
      <c r="FU23" s="705"/>
      <c r="FV23" s="705"/>
      <c r="FW23" s="705"/>
      <c r="FX23" s="705"/>
      <c r="FY23" s="705"/>
      <c r="FZ23" s="705"/>
      <c r="GA23" s="705"/>
      <c r="GB23" s="705"/>
      <c r="GC23" s="705"/>
      <c r="GD23" s="705"/>
      <c r="GE23" s="705"/>
      <c r="GF23" s="705"/>
      <c r="GG23" s="705"/>
      <c r="GH23" s="705"/>
      <c r="GI23" s="705"/>
      <c r="GJ23" s="705"/>
      <c r="GK23" s="705"/>
      <c r="GL23" s="705"/>
      <c r="GM23" s="705"/>
      <c r="GN23" s="705"/>
      <c r="GO23" s="705"/>
      <c r="GP23" s="705"/>
      <c r="GQ23" s="705"/>
      <c r="GR23" s="705"/>
      <c r="GS23" s="705"/>
      <c r="GT23" s="705"/>
      <c r="GU23" s="705"/>
      <c r="GV23" s="705"/>
      <c r="GW23" s="705"/>
      <c r="GX23" s="705"/>
      <c r="GY23" s="705"/>
      <c r="GZ23" s="705"/>
      <c r="HA23" s="705"/>
      <c r="HB23" s="705"/>
      <c r="HC23" s="705"/>
      <c r="HD23" s="705"/>
      <c r="HE23" s="705"/>
      <c r="HF23" s="705"/>
      <c r="HG23" s="705"/>
      <c r="HH23" s="705"/>
      <c r="HI23" s="705"/>
      <c r="HJ23" s="705"/>
      <c r="HK23" s="705"/>
      <c r="HL23" s="705"/>
      <c r="HM23" s="705"/>
      <c r="HN23" s="705"/>
      <c r="HO23" s="705"/>
      <c r="HP23" s="705"/>
      <c r="HQ23" s="705"/>
      <c r="HR23" s="705"/>
      <c r="HS23" s="705"/>
      <c r="HT23" s="705"/>
      <c r="HU23" s="705"/>
      <c r="HV23" s="705"/>
      <c r="HW23" s="705"/>
    </row>
    <row r="24" spans="1:231" ht="15.6" customHeight="1">
      <c r="A24" s="719" t="s">
        <v>429</v>
      </c>
      <c r="B24" s="732">
        <v>1849000</v>
      </c>
      <c r="C24" s="732">
        <f>ROUND(1400267.8+436293.59, -3)</f>
        <v>1837000</v>
      </c>
      <c r="D24" s="700"/>
      <c r="E24" s="721">
        <f t="shared" si="1"/>
        <v>-6.489994591671211E-3</v>
      </c>
      <c r="F24" s="722"/>
      <c r="G24" s="700"/>
      <c r="H24" s="700"/>
      <c r="I24" s="700"/>
      <c r="J24" s="700"/>
      <c r="K24" s="756"/>
      <c r="L24" s="986"/>
      <c r="M24" s="987"/>
      <c r="N24" s="986"/>
      <c r="O24" s="986"/>
      <c r="P24" s="704"/>
      <c r="Q24" s="704"/>
      <c r="R24" s="704"/>
      <c r="S24" s="704"/>
      <c r="T24" s="704"/>
      <c r="U24" s="704"/>
      <c r="V24" s="704"/>
      <c r="W24" s="704"/>
      <c r="X24" s="705"/>
      <c r="Y24" s="705"/>
      <c r="Z24" s="705"/>
      <c r="AA24" s="705"/>
      <c r="AB24" s="705"/>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c r="AY24" s="705"/>
      <c r="AZ24" s="705"/>
      <c r="BA24" s="705"/>
      <c r="BB24" s="705"/>
      <c r="BC24" s="705"/>
      <c r="BD24" s="705"/>
      <c r="BE24" s="705"/>
      <c r="BF24" s="705"/>
      <c r="BG24" s="705"/>
      <c r="BH24" s="705"/>
      <c r="BI24" s="705"/>
      <c r="BJ24" s="705"/>
      <c r="BK24" s="705"/>
      <c r="BL24" s="705"/>
      <c r="BM24" s="705"/>
      <c r="BN24" s="705"/>
      <c r="BO24" s="705"/>
      <c r="BP24" s="705"/>
      <c r="BQ24" s="705"/>
      <c r="BR24" s="705"/>
      <c r="BS24" s="705"/>
      <c r="BT24" s="705"/>
      <c r="BU24" s="705"/>
      <c r="BV24" s="705"/>
      <c r="BW24" s="705"/>
      <c r="BX24" s="705"/>
      <c r="BY24" s="705"/>
      <c r="BZ24" s="705"/>
      <c r="CA24" s="705"/>
      <c r="CB24" s="705"/>
      <c r="CC24" s="705"/>
      <c r="CD24" s="705"/>
      <c r="CE24" s="705"/>
      <c r="CF24" s="705"/>
      <c r="CG24" s="705"/>
      <c r="CH24" s="705"/>
      <c r="CI24" s="705"/>
      <c r="CJ24" s="705"/>
      <c r="CK24" s="705"/>
      <c r="CL24" s="705"/>
      <c r="CM24" s="705"/>
      <c r="CN24" s="705"/>
      <c r="CO24" s="705"/>
      <c r="CP24" s="705"/>
      <c r="CQ24" s="705"/>
      <c r="CR24" s="705"/>
      <c r="CS24" s="705"/>
      <c r="CT24" s="705"/>
      <c r="CU24" s="705"/>
      <c r="CV24" s="705"/>
      <c r="CW24" s="705"/>
      <c r="CX24" s="705"/>
      <c r="CY24" s="705"/>
      <c r="CZ24" s="705"/>
      <c r="DA24" s="705"/>
      <c r="DB24" s="705"/>
      <c r="DC24" s="705"/>
      <c r="DD24" s="705"/>
      <c r="DE24" s="705"/>
      <c r="DF24" s="705"/>
      <c r="DG24" s="705"/>
      <c r="DH24" s="705"/>
      <c r="DI24" s="705"/>
      <c r="DJ24" s="705"/>
      <c r="DK24" s="705"/>
      <c r="DL24" s="705"/>
      <c r="DM24" s="705"/>
      <c r="DN24" s="705"/>
      <c r="DO24" s="705"/>
      <c r="DP24" s="705"/>
      <c r="DQ24" s="705"/>
      <c r="DR24" s="705"/>
      <c r="DS24" s="705"/>
      <c r="DT24" s="705"/>
      <c r="DU24" s="705"/>
      <c r="DV24" s="705"/>
      <c r="DW24" s="705"/>
      <c r="DX24" s="705"/>
      <c r="DY24" s="705"/>
      <c r="DZ24" s="705"/>
      <c r="EA24" s="705"/>
      <c r="EB24" s="705"/>
      <c r="EC24" s="705"/>
      <c r="ED24" s="705"/>
      <c r="EE24" s="705"/>
      <c r="EF24" s="705"/>
      <c r="EG24" s="705"/>
      <c r="EH24" s="705"/>
      <c r="EI24" s="705"/>
      <c r="EJ24" s="705"/>
      <c r="EK24" s="705"/>
      <c r="EL24" s="705"/>
      <c r="EM24" s="705"/>
      <c r="EN24" s="705"/>
      <c r="EO24" s="705"/>
      <c r="EP24" s="705"/>
      <c r="EQ24" s="705"/>
      <c r="ER24" s="705"/>
      <c r="ES24" s="705"/>
      <c r="ET24" s="705"/>
      <c r="EU24" s="705"/>
      <c r="EV24" s="705"/>
      <c r="EW24" s="705"/>
      <c r="EX24" s="705"/>
      <c r="EY24" s="705"/>
      <c r="EZ24" s="705"/>
      <c r="FA24" s="705"/>
      <c r="FB24" s="705"/>
      <c r="FC24" s="705"/>
      <c r="FD24" s="705"/>
      <c r="FE24" s="705"/>
      <c r="FF24" s="705"/>
      <c r="FG24" s="705"/>
      <c r="FH24" s="705"/>
      <c r="FI24" s="705"/>
      <c r="FJ24" s="705"/>
      <c r="FK24" s="705"/>
      <c r="FL24" s="705"/>
      <c r="FM24" s="705"/>
      <c r="FN24" s="705"/>
      <c r="FO24" s="705"/>
      <c r="FP24" s="705"/>
      <c r="FQ24" s="705"/>
      <c r="FR24" s="705"/>
      <c r="FS24" s="705"/>
      <c r="FT24" s="705"/>
      <c r="FU24" s="705"/>
      <c r="FV24" s="705"/>
      <c r="FW24" s="705"/>
      <c r="FX24" s="705"/>
      <c r="FY24" s="705"/>
      <c r="FZ24" s="705"/>
      <c r="GA24" s="705"/>
      <c r="GB24" s="705"/>
      <c r="GC24" s="705"/>
      <c r="GD24" s="705"/>
      <c r="GE24" s="705"/>
      <c r="GF24" s="705"/>
      <c r="GG24" s="705"/>
      <c r="GH24" s="705"/>
      <c r="GI24" s="705"/>
      <c r="GJ24" s="705"/>
      <c r="GK24" s="705"/>
      <c r="GL24" s="705"/>
      <c r="GM24" s="705"/>
      <c r="GN24" s="705"/>
      <c r="GO24" s="705"/>
      <c r="GP24" s="705"/>
      <c r="GQ24" s="705"/>
      <c r="GR24" s="705"/>
      <c r="GS24" s="705"/>
      <c r="GT24" s="705"/>
      <c r="GU24" s="705"/>
      <c r="GV24" s="705"/>
      <c r="GW24" s="705"/>
      <c r="GX24" s="705"/>
      <c r="GY24" s="705"/>
      <c r="GZ24" s="705"/>
      <c r="HA24" s="705"/>
      <c r="HB24" s="705"/>
      <c r="HC24" s="705"/>
      <c r="HD24" s="705"/>
      <c r="HE24" s="705"/>
      <c r="HF24" s="705"/>
      <c r="HG24" s="705"/>
      <c r="HH24" s="705"/>
      <c r="HI24" s="705"/>
      <c r="HJ24" s="705"/>
      <c r="HK24" s="705"/>
      <c r="HL24" s="705"/>
      <c r="HM24" s="705"/>
      <c r="HN24" s="705"/>
      <c r="HO24" s="705"/>
      <c r="HP24" s="705"/>
      <c r="HQ24" s="705"/>
      <c r="HR24" s="705"/>
      <c r="HS24" s="705"/>
      <c r="HT24" s="705"/>
      <c r="HU24" s="705"/>
      <c r="HV24" s="705"/>
      <c r="HW24" s="705"/>
    </row>
    <row r="25" spans="1:231" ht="15.6" customHeight="1">
      <c r="A25" s="719" t="s">
        <v>430</v>
      </c>
      <c r="B25" s="732">
        <v>102000</v>
      </c>
      <c r="C25" s="732">
        <f>ROUND(171961.84,-3)</f>
        <v>172000</v>
      </c>
      <c r="D25" s="700"/>
      <c r="E25" s="721">
        <f t="shared" si="1"/>
        <v>0.68627450980392157</v>
      </c>
      <c r="F25" s="722"/>
      <c r="G25" s="700"/>
      <c r="H25" s="700"/>
      <c r="I25" s="700"/>
      <c r="J25" s="700"/>
      <c r="K25" s="756"/>
      <c r="L25" s="986"/>
      <c r="M25" s="987"/>
      <c r="N25" s="986"/>
      <c r="O25" s="986"/>
      <c r="P25" s="704"/>
      <c r="Q25" s="704"/>
      <c r="R25" s="704"/>
      <c r="S25" s="704"/>
      <c r="T25" s="704"/>
      <c r="U25" s="704"/>
      <c r="V25" s="704"/>
      <c r="W25" s="704"/>
      <c r="X25" s="705"/>
      <c r="Y25" s="705"/>
      <c r="Z25" s="705"/>
      <c r="AA25" s="705"/>
      <c r="AB25" s="705"/>
      <c r="AC25" s="705"/>
      <c r="AD25" s="705"/>
      <c r="AE25" s="705"/>
      <c r="AF25" s="705"/>
      <c r="AG25" s="705"/>
      <c r="AH25" s="705"/>
      <c r="AI25" s="705"/>
      <c r="AJ25" s="705"/>
      <c r="AK25" s="705"/>
      <c r="AL25" s="705"/>
      <c r="AM25" s="705"/>
      <c r="AN25" s="705"/>
      <c r="AO25" s="705"/>
      <c r="AP25" s="705"/>
      <c r="AQ25" s="705"/>
      <c r="AR25" s="705"/>
      <c r="AS25" s="705"/>
      <c r="AT25" s="705"/>
      <c r="AU25" s="705"/>
      <c r="AV25" s="705"/>
      <c r="AW25" s="705"/>
      <c r="AX25" s="705"/>
      <c r="AY25" s="705"/>
      <c r="AZ25" s="705"/>
      <c r="BA25" s="705"/>
      <c r="BB25" s="705"/>
      <c r="BC25" s="705"/>
      <c r="BD25" s="705"/>
      <c r="BE25" s="705"/>
      <c r="BF25" s="705"/>
      <c r="BG25" s="705"/>
      <c r="BH25" s="705"/>
      <c r="BI25" s="705"/>
      <c r="BJ25" s="705"/>
      <c r="BK25" s="705"/>
      <c r="BL25" s="705"/>
      <c r="BM25" s="705"/>
      <c r="BN25" s="705"/>
      <c r="BO25" s="705"/>
      <c r="BP25" s="705"/>
      <c r="BQ25" s="705"/>
      <c r="BR25" s="705"/>
      <c r="BS25" s="705"/>
      <c r="BT25" s="705"/>
      <c r="BU25" s="705"/>
      <c r="BV25" s="705"/>
      <c r="BW25" s="705"/>
      <c r="BX25" s="705"/>
      <c r="BY25" s="705"/>
      <c r="BZ25" s="705"/>
      <c r="CA25" s="705"/>
      <c r="CB25" s="705"/>
      <c r="CC25" s="705"/>
      <c r="CD25" s="705"/>
      <c r="CE25" s="705"/>
      <c r="CF25" s="705"/>
      <c r="CG25" s="705"/>
      <c r="CH25" s="705"/>
      <c r="CI25" s="705"/>
      <c r="CJ25" s="705"/>
      <c r="CK25" s="705"/>
      <c r="CL25" s="705"/>
      <c r="CM25" s="705"/>
      <c r="CN25" s="705"/>
      <c r="CO25" s="705"/>
      <c r="CP25" s="705"/>
      <c r="CQ25" s="705"/>
      <c r="CR25" s="705"/>
      <c r="CS25" s="705"/>
      <c r="CT25" s="705"/>
      <c r="CU25" s="705"/>
      <c r="CV25" s="705"/>
      <c r="CW25" s="705"/>
      <c r="CX25" s="705"/>
      <c r="CY25" s="705"/>
      <c r="CZ25" s="705"/>
      <c r="DA25" s="705"/>
      <c r="DB25" s="705"/>
      <c r="DC25" s="705"/>
      <c r="DD25" s="705"/>
      <c r="DE25" s="705"/>
      <c r="DF25" s="705"/>
      <c r="DG25" s="705"/>
      <c r="DH25" s="705"/>
      <c r="DI25" s="705"/>
      <c r="DJ25" s="705"/>
      <c r="DK25" s="705"/>
      <c r="DL25" s="705"/>
      <c r="DM25" s="705"/>
      <c r="DN25" s="705"/>
      <c r="DO25" s="705"/>
      <c r="DP25" s="705"/>
      <c r="DQ25" s="705"/>
      <c r="DR25" s="705"/>
      <c r="DS25" s="705"/>
      <c r="DT25" s="705"/>
      <c r="DU25" s="705"/>
      <c r="DV25" s="705"/>
      <c r="DW25" s="705"/>
      <c r="DX25" s="705"/>
      <c r="DY25" s="705"/>
      <c r="DZ25" s="705"/>
      <c r="EA25" s="705"/>
      <c r="EB25" s="705"/>
      <c r="EC25" s="705"/>
      <c r="ED25" s="705"/>
      <c r="EE25" s="705"/>
      <c r="EF25" s="705"/>
      <c r="EG25" s="705"/>
      <c r="EH25" s="705"/>
      <c r="EI25" s="705"/>
      <c r="EJ25" s="705"/>
      <c r="EK25" s="705"/>
      <c r="EL25" s="705"/>
      <c r="EM25" s="705"/>
      <c r="EN25" s="705"/>
      <c r="EO25" s="705"/>
      <c r="EP25" s="705"/>
      <c r="EQ25" s="705"/>
      <c r="ER25" s="705"/>
      <c r="ES25" s="705"/>
      <c r="ET25" s="705"/>
      <c r="EU25" s="705"/>
      <c r="EV25" s="705"/>
      <c r="EW25" s="705"/>
      <c r="EX25" s="705"/>
      <c r="EY25" s="705"/>
      <c r="EZ25" s="705"/>
      <c r="FA25" s="705"/>
      <c r="FB25" s="705"/>
      <c r="FC25" s="705"/>
      <c r="FD25" s="705"/>
      <c r="FE25" s="705"/>
      <c r="FF25" s="705"/>
      <c r="FG25" s="705"/>
      <c r="FH25" s="705"/>
      <c r="FI25" s="705"/>
      <c r="FJ25" s="705"/>
      <c r="FK25" s="705"/>
      <c r="FL25" s="705"/>
      <c r="FM25" s="705"/>
      <c r="FN25" s="705"/>
      <c r="FO25" s="705"/>
      <c r="FP25" s="705"/>
      <c r="FQ25" s="705"/>
      <c r="FR25" s="705"/>
      <c r="FS25" s="705"/>
      <c r="FT25" s="705"/>
      <c r="FU25" s="705"/>
      <c r="FV25" s="705"/>
      <c r="FW25" s="705"/>
      <c r="FX25" s="705"/>
      <c r="FY25" s="705"/>
      <c r="FZ25" s="705"/>
      <c r="GA25" s="705"/>
      <c r="GB25" s="705"/>
      <c r="GC25" s="705"/>
      <c r="GD25" s="705"/>
      <c r="GE25" s="705"/>
      <c r="GF25" s="705"/>
      <c r="GG25" s="705"/>
      <c r="GH25" s="705"/>
      <c r="GI25" s="705"/>
      <c r="GJ25" s="705"/>
      <c r="GK25" s="705"/>
      <c r="GL25" s="705"/>
      <c r="GM25" s="705"/>
      <c r="GN25" s="705"/>
      <c r="GO25" s="705"/>
      <c r="GP25" s="705"/>
      <c r="GQ25" s="705"/>
      <c r="GR25" s="705"/>
      <c r="GS25" s="705"/>
      <c r="GT25" s="705"/>
      <c r="GU25" s="705"/>
      <c r="GV25" s="705"/>
      <c r="GW25" s="705"/>
      <c r="GX25" s="705"/>
      <c r="GY25" s="705"/>
      <c r="GZ25" s="705"/>
      <c r="HA25" s="705"/>
      <c r="HB25" s="705"/>
      <c r="HC25" s="705"/>
      <c r="HD25" s="705"/>
      <c r="HE25" s="705"/>
      <c r="HF25" s="705"/>
      <c r="HG25" s="705"/>
      <c r="HH25" s="705"/>
      <c r="HI25" s="705"/>
      <c r="HJ25" s="705"/>
      <c r="HK25" s="705"/>
      <c r="HL25" s="705"/>
      <c r="HM25" s="705"/>
      <c r="HN25" s="705"/>
      <c r="HO25" s="705"/>
      <c r="HP25" s="705"/>
      <c r="HQ25" s="705"/>
      <c r="HR25" s="705"/>
      <c r="HS25" s="705"/>
      <c r="HT25" s="705"/>
      <c r="HU25" s="705"/>
      <c r="HV25" s="705"/>
      <c r="HW25" s="705"/>
    </row>
    <row r="26" spans="1:231" ht="15.6" customHeight="1">
      <c r="A26" s="719" t="s">
        <v>431</v>
      </c>
      <c r="B26" s="732">
        <v>424000</v>
      </c>
      <c r="C26" s="732">
        <f>ROUND(595811.49,-3)</f>
        <v>596000</v>
      </c>
      <c r="D26" s="700"/>
      <c r="E26" s="721">
        <f t="shared" si="1"/>
        <v>0.40566037735849059</v>
      </c>
      <c r="F26" s="722"/>
      <c r="G26" s="700"/>
      <c r="H26" s="700"/>
      <c r="I26" s="700"/>
      <c r="J26" s="700"/>
      <c r="K26" s="756"/>
      <c r="L26" s="986"/>
      <c r="M26" s="987"/>
      <c r="N26" s="986"/>
      <c r="O26" s="986"/>
      <c r="P26" s="704"/>
      <c r="Q26" s="704"/>
      <c r="R26" s="704"/>
      <c r="S26" s="704"/>
      <c r="T26" s="704"/>
      <c r="U26" s="704"/>
      <c r="V26" s="704"/>
      <c r="W26" s="704"/>
      <c r="X26" s="705"/>
      <c r="Y26" s="705"/>
      <c r="Z26" s="705"/>
      <c r="AA26" s="705"/>
      <c r="AB26" s="705"/>
      <c r="AC26" s="705"/>
      <c r="AD26" s="705"/>
      <c r="AE26" s="705"/>
      <c r="AF26" s="705"/>
      <c r="AG26" s="705"/>
      <c r="AH26" s="705"/>
      <c r="AI26" s="705"/>
      <c r="AJ26" s="705"/>
      <c r="AK26" s="705"/>
      <c r="AL26" s="705"/>
      <c r="AM26" s="705"/>
      <c r="AN26" s="705"/>
      <c r="AO26" s="705"/>
      <c r="AP26" s="705"/>
      <c r="AQ26" s="705"/>
      <c r="AR26" s="705"/>
      <c r="AS26" s="705"/>
      <c r="AT26" s="705"/>
      <c r="AU26" s="705"/>
      <c r="AV26" s="705"/>
      <c r="AW26" s="705"/>
      <c r="AX26" s="705"/>
      <c r="AY26" s="705"/>
      <c r="AZ26" s="705"/>
      <c r="BA26" s="705"/>
      <c r="BB26" s="705"/>
      <c r="BC26" s="705"/>
      <c r="BD26" s="705"/>
      <c r="BE26" s="705"/>
      <c r="BF26" s="705"/>
      <c r="BG26" s="705"/>
      <c r="BH26" s="705"/>
      <c r="BI26" s="705"/>
      <c r="BJ26" s="705"/>
      <c r="BK26" s="705"/>
      <c r="BL26" s="705"/>
      <c r="BM26" s="705"/>
      <c r="BN26" s="705"/>
      <c r="BO26" s="705"/>
      <c r="BP26" s="705"/>
      <c r="BQ26" s="705"/>
      <c r="BR26" s="705"/>
      <c r="BS26" s="705"/>
      <c r="BT26" s="705"/>
      <c r="BU26" s="705"/>
      <c r="BV26" s="705"/>
      <c r="BW26" s="705"/>
      <c r="BX26" s="705"/>
      <c r="BY26" s="705"/>
      <c r="BZ26" s="705"/>
      <c r="CA26" s="705"/>
      <c r="CB26" s="705"/>
      <c r="CC26" s="705"/>
      <c r="CD26" s="705"/>
      <c r="CE26" s="705"/>
      <c r="CF26" s="705"/>
      <c r="CG26" s="705"/>
      <c r="CH26" s="705"/>
      <c r="CI26" s="705"/>
      <c r="CJ26" s="705"/>
      <c r="CK26" s="705"/>
      <c r="CL26" s="705"/>
      <c r="CM26" s="705"/>
      <c r="CN26" s="705"/>
      <c r="CO26" s="705"/>
      <c r="CP26" s="705"/>
      <c r="CQ26" s="705"/>
      <c r="CR26" s="705"/>
      <c r="CS26" s="705"/>
      <c r="CT26" s="705"/>
      <c r="CU26" s="705"/>
      <c r="CV26" s="705"/>
      <c r="CW26" s="705"/>
      <c r="CX26" s="705"/>
      <c r="CY26" s="705"/>
      <c r="CZ26" s="705"/>
      <c r="DA26" s="705"/>
      <c r="DB26" s="705"/>
      <c r="DC26" s="705"/>
      <c r="DD26" s="705"/>
      <c r="DE26" s="705"/>
      <c r="DF26" s="705"/>
      <c r="DG26" s="705"/>
      <c r="DH26" s="705"/>
      <c r="DI26" s="705"/>
      <c r="DJ26" s="705"/>
      <c r="DK26" s="705"/>
      <c r="DL26" s="705"/>
      <c r="DM26" s="705"/>
      <c r="DN26" s="705"/>
      <c r="DO26" s="705"/>
      <c r="DP26" s="705"/>
      <c r="DQ26" s="705"/>
      <c r="DR26" s="705"/>
      <c r="DS26" s="705"/>
      <c r="DT26" s="705"/>
      <c r="DU26" s="705"/>
      <c r="DV26" s="705"/>
      <c r="DW26" s="705"/>
      <c r="DX26" s="705"/>
      <c r="DY26" s="705"/>
      <c r="DZ26" s="705"/>
      <c r="EA26" s="705"/>
      <c r="EB26" s="705"/>
      <c r="EC26" s="705"/>
      <c r="ED26" s="705"/>
      <c r="EE26" s="705"/>
      <c r="EF26" s="705"/>
      <c r="EG26" s="705"/>
      <c r="EH26" s="705"/>
      <c r="EI26" s="705"/>
      <c r="EJ26" s="705"/>
      <c r="EK26" s="705"/>
      <c r="EL26" s="705"/>
      <c r="EM26" s="705"/>
      <c r="EN26" s="705"/>
      <c r="EO26" s="705"/>
      <c r="EP26" s="705"/>
      <c r="EQ26" s="705"/>
      <c r="ER26" s="705"/>
      <c r="ES26" s="705"/>
      <c r="ET26" s="705"/>
      <c r="EU26" s="705"/>
      <c r="EV26" s="705"/>
      <c r="EW26" s="705"/>
      <c r="EX26" s="705"/>
      <c r="EY26" s="705"/>
      <c r="EZ26" s="705"/>
      <c r="FA26" s="705"/>
      <c r="FB26" s="705"/>
      <c r="FC26" s="705"/>
      <c r="FD26" s="705"/>
      <c r="FE26" s="705"/>
      <c r="FF26" s="705"/>
      <c r="FG26" s="705"/>
      <c r="FH26" s="705"/>
      <c r="FI26" s="705"/>
      <c r="FJ26" s="705"/>
      <c r="FK26" s="705"/>
      <c r="FL26" s="705"/>
      <c r="FM26" s="705"/>
      <c r="FN26" s="705"/>
      <c r="FO26" s="705"/>
      <c r="FP26" s="705"/>
      <c r="FQ26" s="705"/>
      <c r="FR26" s="705"/>
      <c r="FS26" s="705"/>
      <c r="FT26" s="705"/>
      <c r="FU26" s="705"/>
      <c r="FV26" s="705"/>
      <c r="FW26" s="705"/>
      <c r="FX26" s="705"/>
      <c r="FY26" s="705"/>
      <c r="FZ26" s="705"/>
      <c r="GA26" s="705"/>
      <c r="GB26" s="705"/>
      <c r="GC26" s="705"/>
      <c r="GD26" s="705"/>
      <c r="GE26" s="705"/>
      <c r="GF26" s="705"/>
      <c r="GG26" s="705"/>
      <c r="GH26" s="705"/>
      <c r="GI26" s="705"/>
      <c r="GJ26" s="705"/>
      <c r="GK26" s="705"/>
      <c r="GL26" s="705"/>
      <c r="GM26" s="705"/>
      <c r="GN26" s="705"/>
      <c r="GO26" s="705"/>
      <c r="GP26" s="705"/>
      <c r="GQ26" s="705"/>
      <c r="GR26" s="705"/>
      <c r="GS26" s="705"/>
      <c r="GT26" s="705"/>
      <c r="GU26" s="705"/>
      <c r="GV26" s="705"/>
      <c r="GW26" s="705"/>
      <c r="GX26" s="705"/>
      <c r="GY26" s="705"/>
      <c r="GZ26" s="705"/>
      <c r="HA26" s="705"/>
      <c r="HB26" s="705"/>
      <c r="HC26" s="705"/>
      <c r="HD26" s="705"/>
      <c r="HE26" s="705"/>
      <c r="HF26" s="705"/>
      <c r="HG26" s="705"/>
      <c r="HH26" s="705"/>
      <c r="HI26" s="705"/>
      <c r="HJ26" s="705"/>
      <c r="HK26" s="705"/>
      <c r="HL26" s="705"/>
      <c r="HM26" s="705"/>
      <c r="HN26" s="705"/>
      <c r="HO26" s="705"/>
      <c r="HP26" s="705"/>
      <c r="HQ26" s="705"/>
      <c r="HR26" s="705"/>
      <c r="HS26" s="705"/>
      <c r="HT26" s="705"/>
      <c r="HU26" s="705"/>
      <c r="HV26" s="705"/>
      <c r="HW26" s="705"/>
    </row>
    <row r="27" spans="1:231" ht="15.6" customHeight="1">
      <c r="A27" s="719" t="s">
        <v>426</v>
      </c>
      <c r="B27" s="732">
        <v>477329000</v>
      </c>
      <c r="C27" s="732">
        <f>ROUND(503069571.36,-3)</f>
        <v>503070000</v>
      </c>
      <c r="D27" s="700"/>
      <c r="E27" s="721">
        <f t="shared" si="1"/>
        <v>5.3927165539910726E-2</v>
      </c>
      <c r="F27" s="722"/>
      <c r="G27" s="700"/>
      <c r="H27" s="700"/>
      <c r="I27" s="700"/>
      <c r="J27" s="700"/>
      <c r="K27" s="756"/>
      <c r="L27" s="986"/>
      <c r="M27" s="987"/>
      <c r="N27" s="986"/>
      <c r="O27" s="986"/>
      <c r="P27" s="704"/>
      <c r="Q27" s="704"/>
      <c r="R27" s="704"/>
      <c r="S27" s="704"/>
      <c r="T27" s="704"/>
      <c r="U27" s="704"/>
      <c r="V27" s="704"/>
      <c r="W27" s="704"/>
      <c r="X27" s="705"/>
      <c r="Y27" s="705"/>
      <c r="Z27" s="705"/>
      <c r="AA27" s="705"/>
      <c r="AB27" s="705"/>
      <c r="AC27" s="705"/>
      <c r="AD27" s="705"/>
      <c r="AE27" s="705"/>
      <c r="AF27" s="705"/>
      <c r="AG27" s="705"/>
      <c r="AH27" s="705"/>
      <c r="AI27" s="705"/>
      <c r="AJ27" s="705"/>
      <c r="AK27" s="705"/>
      <c r="AL27" s="705"/>
      <c r="AM27" s="705"/>
      <c r="AN27" s="705"/>
      <c r="AO27" s="705"/>
      <c r="AP27" s="705"/>
      <c r="AQ27" s="705"/>
      <c r="AR27" s="705"/>
      <c r="AS27" s="705"/>
      <c r="AT27" s="705"/>
      <c r="AU27" s="705"/>
      <c r="AV27" s="705"/>
      <c r="AW27" s="705"/>
      <c r="AX27" s="705"/>
      <c r="AY27" s="705"/>
      <c r="AZ27" s="705"/>
      <c r="BA27" s="705"/>
      <c r="BB27" s="705"/>
      <c r="BC27" s="705"/>
      <c r="BD27" s="705"/>
      <c r="BE27" s="705"/>
      <c r="BF27" s="705"/>
      <c r="BG27" s="705"/>
      <c r="BH27" s="705"/>
      <c r="BI27" s="705"/>
      <c r="BJ27" s="705"/>
      <c r="BK27" s="705"/>
      <c r="BL27" s="705"/>
      <c r="BM27" s="705"/>
      <c r="BN27" s="705"/>
      <c r="BO27" s="705"/>
      <c r="BP27" s="705"/>
      <c r="BQ27" s="705"/>
      <c r="BR27" s="705"/>
      <c r="BS27" s="705"/>
      <c r="BT27" s="705"/>
      <c r="BU27" s="705"/>
      <c r="BV27" s="705"/>
      <c r="BW27" s="705"/>
      <c r="BX27" s="705"/>
      <c r="BY27" s="705"/>
      <c r="BZ27" s="705"/>
      <c r="CA27" s="705"/>
      <c r="CB27" s="705"/>
      <c r="CC27" s="705"/>
      <c r="CD27" s="705"/>
      <c r="CE27" s="705"/>
      <c r="CF27" s="705"/>
      <c r="CG27" s="705"/>
      <c r="CH27" s="705"/>
      <c r="CI27" s="705"/>
      <c r="CJ27" s="705"/>
      <c r="CK27" s="705"/>
      <c r="CL27" s="705"/>
      <c r="CM27" s="705"/>
      <c r="CN27" s="705"/>
      <c r="CO27" s="705"/>
      <c r="CP27" s="705"/>
      <c r="CQ27" s="705"/>
      <c r="CR27" s="705"/>
      <c r="CS27" s="705"/>
      <c r="CT27" s="705"/>
      <c r="CU27" s="705"/>
      <c r="CV27" s="705"/>
      <c r="CW27" s="705"/>
      <c r="CX27" s="705"/>
      <c r="CY27" s="705"/>
      <c r="CZ27" s="705"/>
      <c r="DA27" s="705"/>
      <c r="DB27" s="705"/>
      <c r="DC27" s="705"/>
      <c r="DD27" s="705"/>
      <c r="DE27" s="705"/>
      <c r="DF27" s="705"/>
      <c r="DG27" s="705"/>
      <c r="DH27" s="705"/>
      <c r="DI27" s="705"/>
      <c r="DJ27" s="705"/>
      <c r="DK27" s="705"/>
      <c r="DL27" s="705"/>
      <c r="DM27" s="705"/>
      <c r="DN27" s="705"/>
      <c r="DO27" s="705"/>
      <c r="DP27" s="705"/>
      <c r="DQ27" s="705"/>
      <c r="DR27" s="705"/>
      <c r="DS27" s="705"/>
      <c r="DT27" s="705"/>
      <c r="DU27" s="705"/>
      <c r="DV27" s="705"/>
      <c r="DW27" s="705"/>
      <c r="DX27" s="705"/>
      <c r="DY27" s="705"/>
      <c r="DZ27" s="705"/>
      <c r="EA27" s="705"/>
      <c r="EB27" s="705"/>
      <c r="EC27" s="705"/>
      <c r="ED27" s="705"/>
      <c r="EE27" s="705"/>
      <c r="EF27" s="705"/>
      <c r="EG27" s="705"/>
      <c r="EH27" s="705"/>
      <c r="EI27" s="705"/>
      <c r="EJ27" s="705"/>
      <c r="EK27" s="705"/>
      <c r="EL27" s="705"/>
      <c r="EM27" s="705"/>
      <c r="EN27" s="705"/>
      <c r="EO27" s="705"/>
      <c r="EP27" s="705"/>
      <c r="EQ27" s="705"/>
      <c r="ER27" s="705"/>
      <c r="ES27" s="705"/>
      <c r="ET27" s="705"/>
      <c r="EU27" s="705"/>
      <c r="EV27" s="705"/>
      <c r="EW27" s="705"/>
      <c r="EX27" s="705"/>
      <c r="EY27" s="705"/>
      <c r="EZ27" s="705"/>
      <c r="FA27" s="705"/>
      <c r="FB27" s="705"/>
      <c r="FC27" s="705"/>
      <c r="FD27" s="705"/>
      <c r="FE27" s="705"/>
      <c r="FF27" s="705"/>
      <c r="FG27" s="705"/>
      <c r="FH27" s="705"/>
      <c r="FI27" s="705"/>
      <c r="FJ27" s="705"/>
      <c r="FK27" s="705"/>
      <c r="FL27" s="705"/>
      <c r="FM27" s="705"/>
      <c r="FN27" s="705"/>
      <c r="FO27" s="705"/>
      <c r="FP27" s="705"/>
      <c r="FQ27" s="705"/>
      <c r="FR27" s="705"/>
      <c r="FS27" s="705"/>
      <c r="FT27" s="705"/>
      <c r="FU27" s="705"/>
      <c r="FV27" s="705"/>
      <c r="FW27" s="705"/>
      <c r="FX27" s="705"/>
      <c r="FY27" s="705"/>
      <c r="FZ27" s="705"/>
      <c r="GA27" s="705"/>
      <c r="GB27" s="705"/>
      <c r="GC27" s="705"/>
      <c r="GD27" s="705"/>
      <c r="GE27" s="705"/>
      <c r="GF27" s="705"/>
      <c r="GG27" s="705"/>
      <c r="GH27" s="705"/>
      <c r="GI27" s="705"/>
      <c r="GJ27" s="705"/>
      <c r="GK27" s="705"/>
      <c r="GL27" s="705"/>
      <c r="GM27" s="705"/>
      <c r="GN27" s="705"/>
      <c r="GO27" s="705"/>
      <c r="GP27" s="705"/>
      <c r="GQ27" s="705"/>
      <c r="GR27" s="705"/>
      <c r="GS27" s="705"/>
      <c r="GT27" s="705"/>
      <c r="GU27" s="705"/>
      <c r="GV27" s="705"/>
      <c r="GW27" s="705"/>
      <c r="GX27" s="705"/>
      <c r="GY27" s="705"/>
      <c r="GZ27" s="705"/>
      <c r="HA27" s="705"/>
      <c r="HB27" s="705"/>
      <c r="HC27" s="705"/>
      <c r="HD27" s="705"/>
      <c r="HE27" s="705"/>
      <c r="HF27" s="705"/>
      <c r="HG27" s="705"/>
      <c r="HH27" s="705"/>
      <c r="HI27" s="705"/>
      <c r="HJ27" s="705"/>
      <c r="HK27" s="705"/>
      <c r="HL27" s="705"/>
      <c r="HM27" s="705"/>
      <c r="HN27" s="705"/>
      <c r="HO27" s="705"/>
      <c r="HP27" s="705"/>
      <c r="HQ27" s="705"/>
      <c r="HR27" s="705"/>
      <c r="HS27" s="705"/>
      <c r="HT27" s="705"/>
      <c r="HU27" s="705"/>
      <c r="HV27" s="705"/>
      <c r="HW27" s="705"/>
    </row>
    <row r="28" spans="1:231" ht="15.6" customHeight="1">
      <c r="A28" s="702" t="s">
        <v>432</v>
      </c>
      <c r="B28" s="732">
        <v>5143000</v>
      </c>
      <c r="C28" s="732">
        <f>ROUND(3411527.32,-3)</f>
        <v>3412000</v>
      </c>
      <c r="D28" s="700"/>
      <c r="E28" s="721">
        <f t="shared" si="1"/>
        <v>-0.33657398405599848</v>
      </c>
      <c r="F28" s="722"/>
      <c r="G28" s="700"/>
      <c r="H28" s="700"/>
      <c r="I28" s="700"/>
      <c r="J28" s="700"/>
      <c r="K28" s="756"/>
      <c r="L28" s="758" t="s">
        <v>3</v>
      </c>
      <c r="M28" s="758"/>
      <c r="N28" s="759">
        <f>C13</f>
        <v>3121503000</v>
      </c>
      <c r="O28" s="988">
        <f>N28/SUM($N$28:$N$31)</f>
        <v>0.19850479577968336</v>
      </c>
      <c r="P28" s="704"/>
      <c r="Q28" s="704"/>
      <c r="R28" s="704"/>
      <c r="S28" s="704"/>
      <c r="T28" s="704"/>
      <c r="U28" s="704"/>
      <c r="V28" s="704"/>
      <c r="W28" s="704"/>
      <c r="X28" s="705"/>
      <c r="Y28" s="705"/>
      <c r="Z28" s="705"/>
      <c r="AA28" s="705"/>
      <c r="AB28" s="705"/>
      <c r="AC28" s="705"/>
      <c r="AD28" s="705"/>
      <c r="AE28" s="705"/>
      <c r="AF28" s="705"/>
      <c r="AG28" s="705"/>
      <c r="AH28" s="705"/>
      <c r="AI28" s="705"/>
      <c r="AJ28" s="705"/>
      <c r="AK28" s="705"/>
      <c r="AL28" s="705"/>
      <c r="AM28" s="705"/>
      <c r="AN28" s="705"/>
      <c r="AO28" s="705"/>
      <c r="AP28" s="705"/>
      <c r="AQ28" s="705"/>
      <c r="AR28" s="705"/>
      <c r="AS28" s="705"/>
      <c r="AT28" s="705"/>
      <c r="AU28" s="705"/>
      <c r="AV28" s="705"/>
      <c r="AW28" s="705"/>
      <c r="AX28" s="705"/>
      <c r="AY28" s="705"/>
      <c r="AZ28" s="705"/>
      <c r="BA28" s="705"/>
      <c r="BB28" s="705"/>
      <c r="BC28" s="705"/>
      <c r="BD28" s="705"/>
      <c r="BE28" s="705"/>
      <c r="BF28" s="705"/>
      <c r="BG28" s="705"/>
      <c r="BH28" s="705"/>
      <c r="BI28" s="705"/>
      <c r="BJ28" s="705"/>
      <c r="BK28" s="705"/>
      <c r="BL28" s="705"/>
      <c r="BM28" s="705"/>
      <c r="BN28" s="705"/>
      <c r="BO28" s="705"/>
      <c r="BP28" s="705"/>
      <c r="BQ28" s="705"/>
      <c r="BR28" s="705"/>
      <c r="BS28" s="705"/>
      <c r="BT28" s="705"/>
      <c r="BU28" s="705"/>
      <c r="BV28" s="705"/>
      <c r="BW28" s="705"/>
      <c r="BX28" s="705"/>
      <c r="BY28" s="705"/>
      <c r="BZ28" s="705"/>
      <c r="CA28" s="705"/>
      <c r="CB28" s="705"/>
      <c r="CC28" s="705"/>
      <c r="CD28" s="705"/>
      <c r="CE28" s="705"/>
      <c r="CF28" s="705"/>
      <c r="CG28" s="705"/>
      <c r="CH28" s="705"/>
      <c r="CI28" s="705"/>
      <c r="CJ28" s="705"/>
      <c r="CK28" s="705"/>
      <c r="CL28" s="705"/>
      <c r="CM28" s="705"/>
      <c r="CN28" s="705"/>
      <c r="CO28" s="705"/>
      <c r="CP28" s="705"/>
      <c r="CQ28" s="705"/>
      <c r="CR28" s="705"/>
      <c r="CS28" s="705"/>
      <c r="CT28" s="705"/>
      <c r="CU28" s="705"/>
      <c r="CV28" s="705"/>
      <c r="CW28" s="705"/>
      <c r="CX28" s="705"/>
      <c r="CY28" s="705"/>
      <c r="CZ28" s="705"/>
      <c r="DA28" s="705"/>
      <c r="DB28" s="705"/>
      <c r="DC28" s="705"/>
      <c r="DD28" s="705"/>
      <c r="DE28" s="705"/>
      <c r="DF28" s="705"/>
      <c r="DG28" s="705"/>
      <c r="DH28" s="705"/>
      <c r="DI28" s="705"/>
      <c r="DJ28" s="705"/>
      <c r="DK28" s="705"/>
      <c r="DL28" s="705"/>
      <c r="DM28" s="705"/>
      <c r="DN28" s="705"/>
      <c r="DO28" s="705"/>
      <c r="DP28" s="705"/>
      <c r="DQ28" s="705"/>
      <c r="DR28" s="705"/>
      <c r="DS28" s="705"/>
      <c r="DT28" s="705"/>
      <c r="DU28" s="705"/>
      <c r="DV28" s="705"/>
      <c r="DW28" s="705"/>
      <c r="DX28" s="705"/>
      <c r="DY28" s="705"/>
      <c r="DZ28" s="705"/>
      <c r="EA28" s="705"/>
      <c r="EB28" s="705"/>
      <c r="EC28" s="705"/>
      <c r="ED28" s="705"/>
      <c r="EE28" s="705"/>
      <c r="EF28" s="705"/>
      <c r="EG28" s="705"/>
      <c r="EH28" s="705"/>
      <c r="EI28" s="705"/>
      <c r="EJ28" s="705"/>
      <c r="EK28" s="705"/>
      <c r="EL28" s="705"/>
      <c r="EM28" s="705"/>
      <c r="EN28" s="705"/>
      <c r="EO28" s="705"/>
      <c r="EP28" s="705"/>
      <c r="EQ28" s="705"/>
      <c r="ER28" s="705"/>
      <c r="ES28" s="705"/>
      <c r="ET28" s="705"/>
      <c r="EU28" s="705"/>
      <c r="EV28" s="705"/>
      <c r="EW28" s="705"/>
      <c r="EX28" s="705"/>
      <c r="EY28" s="705"/>
      <c r="EZ28" s="705"/>
      <c r="FA28" s="705"/>
      <c r="FB28" s="705"/>
      <c r="FC28" s="705"/>
      <c r="FD28" s="705"/>
      <c r="FE28" s="705"/>
      <c r="FF28" s="705"/>
      <c r="FG28" s="705"/>
      <c r="FH28" s="705"/>
      <c r="FI28" s="705"/>
      <c r="FJ28" s="705"/>
      <c r="FK28" s="705"/>
      <c r="FL28" s="705"/>
      <c r="FM28" s="705"/>
      <c r="FN28" s="705"/>
      <c r="FO28" s="705"/>
      <c r="FP28" s="705"/>
      <c r="FQ28" s="705"/>
      <c r="FR28" s="705"/>
      <c r="FS28" s="705"/>
      <c r="FT28" s="705"/>
      <c r="FU28" s="705"/>
      <c r="FV28" s="705"/>
      <c r="FW28" s="705"/>
      <c r="FX28" s="705"/>
      <c r="FY28" s="705"/>
      <c r="FZ28" s="705"/>
      <c r="GA28" s="705"/>
      <c r="GB28" s="705"/>
      <c r="GC28" s="705"/>
      <c r="GD28" s="705"/>
      <c r="GE28" s="705"/>
      <c r="GF28" s="705"/>
      <c r="GG28" s="705"/>
      <c r="GH28" s="705"/>
      <c r="GI28" s="705"/>
      <c r="GJ28" s="705"/>
      <c r="GK28" s="705"/>
      <c r="GL28" s="705"/>
      <c r="GM28" s="705"/>
      <c r="GN28" s="705"/>
      <c r="GO28" s="705"/>
      <c r="GP28" s="705"/>
      <c r="GQ28" s="705"/>
      <c r="GR28" s="705"/>
      <c r="GS28" s="705"/>
      <c r="GT28" s="705"/>
      <c r="GU28" s="705"/>
      <c r="GV28" s="705"/>
      <c r="GW28" s="705"/>
      <c r="GX28" s="705"/>
      <c r="GY28" s="705"/>
      <c r="GZ28" s="705"/>
      <c r="HA28" s="705"/>
      <c r="HB28" s="705"/>
      <c r="HC28" s="705"/>
      <c r="HD28" s="705"/>
      <c r="HE28" s="705"/>
      <c r="HF28" s="705"/>
      <c r="HG28" s="705"/>
      <c r="HH28" s="705"/>
      <c r="HI28" s="705"/>
      <c r="HJ28" s="705"/>
      <c r="HK28" s="705"/>
      <c r="HL28" s="705"/>
      <c r="HM28" s="705"/>
      <c r="HN28" s="705"/>
      <c r="HO28" s="705"/>
      <c r="HP28" s="705"/>
      <c r="HQ28" s="705"/>
      <c r="HR28" s="705"/>
      <c r="HS28" s="705"/>
      <c r="HT28" s="705"/>
      <c r="HU28" s="705"/>
      <c r="HV28" s="705"/>
      <c r="HW28" s="705"/>
    </row>
    <row r="29" spans="1:231" ht="15.6" customHeight="1">
      <c r="A29" s="702" t="s">
        <v>434</v>
      </c>
      <c r="B29" s="699">
        <v>69523000</v>
      </c>
      <c r="C29" s="699">
        <f>ROUND(78350664.42,-3)</f>
        <v>78351000</v>
      </c>
      <c r="D29" s="700"/>
      <c r="E29" s="721">
        <f t="shared" si="1"/>
        <v>0.12697956072091254</v>
      </c>
      <c r="F29" s="722"/>
      <c r="G29" s="700"/>
      <c r="H29" s="700"/>
      <c r="I29" s="700"/>
      <c r="J29" s="700"/>
      <c r="K29" s="756"/>
      <c r="L29" s="758" t="s">
        <v>4</v>
      </c>
      <c r="M29" s="758"/>
      <c r="N29" s="759">
        <f>C9</f>
        <v>10612836000</v>
      </c>
      <c r="O29" s="988">
        <f>N29/SUM($N$28:$N$31)</f>
        <v>0.6748988685332904</v>
      </c>
      <c r="P29" s="704"/>
      <c r="Q29" s="704"/>
      <c r="R29" s="704"/>
      <c r="S29" s="704"/>
      <c r="T29" s="704"/>
      <c r="U29" s="704"/>
      <c r="V29" s="704"/>
      <c r="W29" s="704"/>
      <c r="X29" s="705"/>
      <c r="Y29" s="705"/>
      <c r="Z29" s="705"/>
      <c r="AA29" s="705"/>
      <c r="AB29" s="705"/>
      <c r="AC29" s="705"/>
      <c r="AD29" s="705"/>
      <c r="AE29" s="705"/>
      <c r="AF29" s="705"/>
      <c r="AG29" s="705"/>
      <c r="AH29" s="705"/>
      <c r="AI29" s="705"/>
      <c r="AJ29" s="705"/>
      <c r="AK29" s="705"/>
      <c r="AL29" s="705"/>
      <c r="AM29" s="705"/>
      <c r="AN29" s="705"/>
      <c r="AO29" s="705"/>
      <c r="AP29" s="705"/>
      <c r="AQ29" s="705"/>
      <c r="AR29" s="705"/>
      <c r="AS29" s="705"/>
      <c r="AT29" s="705"/>
      <c r="AU29" s="705"/>
      <c r="AV29" s="705"/>
      <c r="AW29" s="705"/>
      <c r="AX29" s="705"/>
      <c r="AY29" s="705"/>
      <c r="AZ29" s="705"/>
      <c r="BA29" s="705"/>
      <c r="BB29" s="705"/>
      <c r="BC29" s="705"/>
      <c r="BD29" s="705"/>
      <c r="BE29" s="705"/>
      <c r="BF29" s="705"/>
      <c r="BG29" s="705"/>
      <c r="BH29" s="705"/>
      <c r="BI29" s="705"/>
      <c r="BJ29" s="705"/>
      <c r="BK29" s="705"/>
      <c r="BL29" s="705"/>
      <c r="BM29" s="705"/>
      <c r="BN29" s="705"/>
      <c r="BO29" s="705"/>
      <c r="BP29" s="705"/>
      <c r="BQ29" s="705"/>
      <c r="BR29" s="705"/>
      <c r="BS29" s="705"/>
      <c r="BT29" s="705"/>
      <c r="BU29" s="705"/>
      <c r="BV29" s="705"/>
      <c r="BW29" s="705"/>
      <c r="BX29" s="705"/>
      <c r="BY29" s="705"/>
      <c r="BZ29" s="705"/>
      <c r="CA29" s="705"/>
      <c r="CB29" s="705"/>
      <c r="CC29" s="705"/>
      <c r="CD29" s="705"/>
      <c r="CE29" s="705"/>
      <c r="CF29" s="705"/>
      <c r="CG29" s="705"/>
      <c r="CH29" s="705"/>
      <c r="CI29" s="705"/>
      <c r="CJ29" s="705"/>
      <c r="CK29" s="705"/>
      <c r="CL29" s="705"/>
      <c r="CM29" s="705"/>
      <c r="CN29" s="705"/>
      <c r="CO29" s="705"/>
      <c r="CP29" s="705"/>
      <c r="CQ29" s="705"/>
      <c r="CR29" s="705"/>
      <c r="CS29" s="705"/>
      <c r="CT29" s="705"/>
      <c r="CU29" s="705"/>
      <c r="CV29" s="705"/>
      <c r="CW29" s="705"/>
      <c r="CX29" s="705"/>
      <c r="CY29" s="705"/>
      <c r="CZ29" s="705"/>
      <c r="DA29" s="705"/>
      <c r="DB29" s="705"/>
      <c r="DC29" s="705"/>
      <c r="DD29" s="705"/>
      <c r="DE29" s="705"/>
      <c r="DF29" s="705"/>
      <c r="DG29" s="705"/>
      <c r="DH29" s="705"/>
      <c r="DI29" s="705"/>
      <c r="DJ29" s="705"/>
      <c r="DK29" s="705"/>
      <c r="DL29" s="705"/>
      <c r="DM29" s="705"/>
      <c r="DN29" s="705"/>
      <c r="DO29" s="705"/>
      <c r="DP29" s="705"/>
      <c r="DQ29" s="705"/>
      <c r="DR29" s="705"/>
      <c r="DS29" s="705"/>
      <c r="DT29" s="705"/>
      <c r="DU29" s="705"/>
      <c r="DV29" s="705"/>
      <c r="DW29" s="705"/>
      <c r="DX29" s="705"/>
      <c r="DY29" s="705"/>
      <c r="DZ29" s="705"/>
      <c r="EA29" s="705"/>
      <c r="EB29" s="705"/>
      <c r="EC29" s="705"/>
      <c r="ED29" s="705"/>
      <c r="EE29" s="705"/>
      <c r="EF29" s="705"/>
      <c r="EG29" s="705"/>
      <c r="EH29" s="705"/>
      <c r="EI29" s="705"/>
      <c r="EJ29" s="705"/>
      <c r="EK29" s="705"/>
      <c r="EL29" s="705"/>
      <c r="EM29" s="705"/>
      <c r="EN29" s="705"/>
      <c r="EO29" s="705"/>
      <c r="EP29" s="705"/>
      <c r="EQ29" s="705"/>
      <c r="ER29" s="705"/>
      <c r="ES29" s="705"/>
      <c r="ET29" s="705"/>
      <c r="EU29" s="705"/>
      <c r="EV29" s="705"/>
      <c r="EW29" s="705"/>
      <c r="EX29" s="705"/>
      <c r="EY29" s="705"/>
      <c r="EZ29" s="705"/>
      <c r="FA29" s="705"/>
      <c r="FB29" s="705"/>
      <c r="FC29" s="705"/>
      <c r="FD29" s="705"/>
      <c r="FE29" s="705"/>
      <c r="FF29" s="705"/>
      <c r="FG29" s="705"/>
      <c r="FH29" s="705"/>
      <c r="FI29" s="705"/>
      <c r="FJ29" s="705"/>
      <c r="FK29" s="705"/>
      <c r="FL29" s="705"/>
      <c r="FM29" s="705"/>
      <c r="FN29" s="705"/>
      <c r="FO29" s="705"/>
      <c r="FP29" s="705"/>
      <c r="FQ29" s="705"/>
      <c r="FR29" s="705"/>
      <c r="FS29" s="705"/>
      <c r="FT29" s="705"/>
      <c r="FU29" s="705"/>
      <c r="FV29" s="705"/>
      <c r="FW29" s="705"/>
      <c r="FX29" s="705"/>
      <c r="FY29" s="705"/>
      <c r="FZ29" s="705"/>
      <c r="GA29" s="705"/>
      <c r="GB29" s="705"/>
      <c r="GC29" s="705"/>
      <c r="GD29" s="705"/>
      <c r="GE29" s="705"/>
      <c r="GF29" s="705"/>
      <c r="GG29" s="705"/>
      <c r="GH29" s="705"/>
      <c r="GI29" s="705"/>
      <c r="GJ29" s="705"/>
      <c r="GK29" s="705"/>
      <c r="GL29" s="705"/>
      <c r="GM29" s="705"/>
      <c r="GN29" s="705"/>
      <c r="GO29" s="705"/>
      <c r="GP29" s="705"/>
      <c r="GQ29" s="705"/>
      <c r="GR29" s="705"/>
      <c r="GS29" s="705"/>
      <c r="GT29" s="705"/>
      <c r="GU29" s="705"/>
      <c r="GV29" s="705"/>
      <c r="GW29" s="705"/>
      <c r="GX29" s="705"/>
      <c r="GY29" s="705"/>
      <c r="GZ29" s="705"/>
      <c r="HA29" s="705"/>
      <c r="HB29" s="705"/>
      <c r="HC29" s="705"/>
      <c r="HD29" s="705"/>
      <c r="HE29" s="705"/>
      <c r="HF29" s="705"/>
      <c r="HG29" s="705"/>
      <c r="HH29" s="705"/>
      <c r="HI29" s="705"/>
      <c r="HJ29" s="705"/>
      <c r="HK29" s="705"/>
      <c r="HL29" s="705"/>
      <c r="HM29" s="705"/>
      <c r="HN29" s="705"/>
      <c r="HO29" s="705"/>
      <c r="HP29" s="705"/>
      <c r="HQ29" s="705"/>
      <c r="HR29" s="705"/>
      <c r="HS29" s="705"/>
      <c r="HT29" s="705"/>
      <c r="HU29" s="705"/>
      <c r="HV29" s="705"/>
      <c r="HW29" s="705"/>
    </row>
    <row r="30" spans="1:231" ht="15.6" customHeight="1">
      <c r="A30" s="702" t="s">
        <v>436</v>
      </c>
      <c r="B30" s="732">
        <v>240000</v>
      </c>
      <c r="C30" s="732">
        <f>ROUND(300696.67,-3)</f>
        <v>301000</v>
      </c>
      <c r="D30" s="700"/>
      <c r="E30" s="721">
        <f t="shared" si="1"/>
        <v>0.25416666666666665</v>
      </c>
      <c r="F30" s="722"/>
      <c r="G30" s="700"/>
      <c r="H30" s="700"/>
      <c r="I30" s="700"/>
      <c r="J30" s="700"/>
      <c r="K30" s="756"/>
      <c r="L30" s="760" t="s">
        <v>433</v>
      </c>
      <c r="M30" s="760"/>
      <c r="N30" s="759">
        <f>C8</f>
        <v>859923000</v>
      </c>
      <c r="O30" s="988">
        <f>N30/SUM($N$28:$N$31)</f>
        <v>5.4684823144892911E-2</v>
      </c>
      <c r="P30" s="704"/>
      <c r="Q30" s="704"/>
      <c r="R30" s="704"/>
      <c r="S30" s="704"/>
      <c r="T30" s="704"/>
      <c r="U30" s="704"/>
      <c r="V30" s="704"/>
      <c r="W30" s="704"/>
      <c r="X30" s="705"/>
      <c r="Y30" s="705"/>
      <c r="Z30" s="705"/>
      <c r="AA30" s="705"/>
      <c r="AB30" s="705"/>
      <c r="AC30" s="705"/>
      <c r="AD30" s="705"/>
      <c r="AE30" s="705"/>
      <c r="AF30" s="705"/>
      <c r="AG30" s="705"/>
      <c r="AH30" s="705"/>
      <c r="AI30" s="705"/>
      <c r="AJ30" s="705"/>
      <c r="AK30" s="705"/>
      <c r="AL30" s="705"/>
      <c r="AM30" s="705"/>
      <c r="AN30" s="705"/>
      <c r="AO30" s="705"/>
      <c r="AP30" s="705"/>
      <c r="AQ30" s="705"/>
      <c r="AR30" s="705"/>
      <c r="AS30" s="705"/>
      <c r="AT30" s="705"/>
      <c r="AU30" s="705"/>
      <c r="AV30" s="705"/>
      <c r="AW30" s="705"/>
      <c r="AX30" s="705"/>
      <c r="AY30" s="705"/>
      <c r="AZ30" s="705"/>
      <c r="BA30" s="705"/>
      <c r="BB30" s="705"/>
      <c r="BC30" s="705"/>
      <c r="BD30" s="705"/>
      <c r="BE30" s="705"/>
      <c r="BF30" s="705"/>
      <c r="BG30" s="705"/>
      <c r="BH30" s="705"/>
      <c r="BI30" s="705"/>
      <c r="BJ30" s="705"/>
      <c r="BK30" s="705"/>
      <c r="BL30" s="705"/>
      <c r="BM30" s="705"/>
      <c r="BN30" s="705"/>
      <c r="BO30" s="705"/>
      <c r="BP30" s="705"/>
      <c r="BQ30" s="705"/>
      <c r="BR30" s="705"/>
      <c r="BS30" s="705"/>
      <c r="BT30" s="705"/>
      <c r="BU30" s="705"/>
      <c r="BV30" s="705"/>
      <c r="BW30" s="705"/>
      <c r="BX30" s="705"/>
      <c r="BY30" s="705"/>
      <c r="BZ30" s="705"/>
      <c r="CA30" s="705"/>
      <c r="CB30" s="705"/>
      <c r="CC30" s="705"/>
      <c r="CD30" s="705"/>
      <c r="CE30" s="705"/>
      <c r="CF30" s="705"/>
      <c r="CG30" s="705"/>
      <c r="CH30" s="705"/>
      <c r="CI30" s="705"/>
      <c r="CJ30" s="705"/>
      <c r="CK30" s="705"/>
      <c r="CL30" s="705"/>
      <c r="CM30" s="705"/>
      <c r="CN30" s="705"/>
      <c r="CO30" s="705"/>
      <c r="CP30" s="705"/>
      <c r="CQ30" s="705"/>
      <c r="CR30" s="705"/>
      <c r="CS30" s="705"/>
      <c r="CT30" s="705"/>
      <c r="CU30" s="705"/>
      <c r="CV30" s="705"/>
      <c r="CW30" s="705"/>
      <c r="CX30" s="705"/>
      <c r="CY30" s="705"/>
      <c r="CZ30" s="705"/>
      <c r="DA30" s="705"/>
      <c r="DB30" s="705"/>
      <c r="DC30" s="705"/>
      <c r="DD30" s="705"/>
      <c r="DE30" s="705"/>
      <c r="DF30" s="705"/>
      <c r="DG30" s="705"/>
      <c r="DH30" s="705"/>
      <c r="DI30" s="705"/>
      <c r="DJ30" s="705"/>
      <c r="DK30" s="705"/>
      <c r="DL30" s="705"/>
      <c r="DM30" s="705"/>
      <c r="DN30" s="705"/>
      <c r="DO30" s="705"/>
      <c r="DP30" s="705"/>
      <c r="DQ30" s="705"/>
      <c r="DR30" s="705"/>
      <c r="DS30" s="705"/>
      <c r="DT30" s="705"/>
      <c r="DU30" s="705"/>
      <c r="DV30" s="705"/>
      <c r="DW30" s="705"/>
      <c r="DX30" s="705"/>
      <c r="DY30" s="705"/>
      <c r="DZ30" s="705"/>
      <c r="EA30" s="705"/>
      <c r="EB30" s="705"/>
      <c r="EC30" s="705"/>
      <c r="ED30" s="705"/>
      <c r="EE30" s="705"/>
      <c r="EF30" s="705"/>
      <c r="EG30" s="705"/>
      <c r="EH30" s="705"/>
      <c r="EI30" s="705"/>
      <c r="EJ30" s="705"/>
      <c r="EK30" s="705"/>
      <c r="EL30" s="705"/>
      <c r="EM30" s="705"/>
      <c r="EN30" s="705"/>
      <c r="EO30" s="705"/>
      <c r="EP30" s="705"/>
      <c r="EQ30" s="705"/>
      <c r="ER30" s="705"/>
      <c r="ES30" s="705"/>
      <c r="ET30" s="705"/>
      <c r="EU30" s="705"/>
      <c r="EV30" s="705"/>
      <c r="EW30" s="705"/>
      <c r="EX30" s="705"/>
      <c r="EY30" s="705"/>
      <c r="EZ30" s="705"/>
      <c r="FA30" s="705"/>
      <c r="FB30" s="705"/>
      <c r="FC30" s="705"/>
      <c r="FD30" s="705"/>
      <c r="FE30" s="705"/>
      <c r="FF30" s="705"/>
      <c r="FG30" s="705"/>
      <c r="FH30" s="705"/>
      <c r="FI30" s="705"/>
      <c r="FJ30" s="705"/>
      <c r="FK30" s="705"/>
      <c r="FL30" s="705"/>
      <c r="FM30" s="705"/>
      <c r="FN30" s="705"/>
      <c r="FO30" s="705"/>
      <c r="FP30" s="705"/>
      <c r="FQ30" s="705"/>
      <c r="FR30" s="705"/>
      <c r="FS30" s="705"/>
      <c r="FT30" s="705"/>
      <c r="FU30" s="705"/>
      <c r="FV30" s="705"/>
      <c r="FW30" s="705"/>
      <c r="FX30" s="705"/>
      <c r="FY30" s="705"/>
      <c r="FZ30" s="705"/>
      <c r="GA30" s="705"/>
      <c r="GB30" s="705"/>
      <c r="GC30" s="705"/>
      <c r="GD30" s="705"/>
      <c r="GE30" s="705"/>
      <c r="GF30" s="705"/>
      <c r="GG30" s="705"/>
      <c r="GH30" s="705"/>
      <c r="GI30" s="705"/>
      <c r="GJ30" s="705"/>
      <c r="GK30" s="705"/>
      <c r="GL30" s="705"/>
      <c r="GM30" s="705"/>
      <c r="GN30" s="705"/>
      <c r="GO30" s="705"/>
      <c r="GP30" s="705"/>
      <c r="GQ30" s="705"/>
      <c r="GR30" s="705"/>
      <c r="GS30" s="705"/>
      <c r="GT30" s="705"/>
      <c r="GU30" s="705"/>
      <c r="GV30" s="705"/>
      <c r="GW30" s="705"/>
      <c r="GX30" s="705"/>
      <c r="GY30" s="705"/>
      <c r="GZ30" s="705"/>
      <c r="HA30" s="705"/>
      <c r="HB30" s="705"/>
      <c r="HC30" s="705"/>
      <c r="HD30" s="705"/>
      <c r="HE30" s="705"/>
      <c r="HF30" s="705"/>
      <c r="HG30" s="705"/>
      <c r="HH30" s="705"/>
      <c r="HI30" s="705"/>
      <c r="HJ30" s="705"/>
      <c r="HK30" s="705"/>
      <c r="HL30" s="705"/>
      <c r="HM30" s="705"/>
      <c r="HN30" s="705"/>
      <c r="HO30" s="705"/>
      <c r="HP30" s="705"/>
      <c r="HQ30" s="705"/>
      <c r="HR30" s="705"/>
      <c r="HS30" s="705"/>
      <c r="HT30" s="705"/>
      <c r="HU30" s="705"/>
      <c r="HV30" s="705"/>
      <c r="HW30" s="705"/>
    </row>
    <row r="31" spans="1:231" ht="15.6" customHeight="1">
      <c r="A31" s="702" t="s">
        <v>437</v>
      </c>
      <c r="B31" s="732">
        <v>192000</v>
      </c>
      <c r="C31" s="732">
        <f>ROUND(536806.91,-3)</f>
        <v>537000</v>
      </c>
      <c r="D31" s="700"/>
      <c r="E31" s="721">
        <f t="shared" si="1"/>
        <v>1.796875</v>
      </c>
      <c r="F31" s="722"/>
      <c r="G31" s="700"/>
      <c r="H31" s="700"/>
      <c r="I31" s="700"/>
      <c r="J31" s="700"/>
      <c r="K31" s="756"/>
      <c r="L31" s="758" t="s">
        <v>435</v>
      </c>
      <c r="M31" s="758"/>
      <c r="N31" s="759">
        <f>C40-SUM(N28:N30)</f>
        <v>1130814000</v>
      </c>
      <c r="O31" s="988">
        <f>N31/SUM($N$28:$N$31)</f>
        <v>7.1911512542133335E-2</v>
      </c>
      <c r="P31" s="704"/>
      <c r="Q31" s="704"/>
      <c r="R31" s="704"/>
      <c r="S31" s="704"/>
      <c r="T31" s="704"/>
      <c r="U31" s="704"/>
      <c r="V31" s="704"/>
      <c r="W31" s="704"/>
      <c r="X31" s="705"/>
      <c r="Y31" s="705"/>
      <c r="Z31" s="705"/>
      <c r="AA31" s="705"/>
      <c r="AB31" s="705"/>
      <c r="AC31" s="705"/>
      <c r="AD31" s="705"/>
      <c r="AE31" s="705"/>
      <c r="AF31" s="705"/>
      <c r="AG31" s="705"/>
      <c r="AH31" s="705"/>
      <c r="AI31" s="705"/>
      <c r="AJ31" s="705"/>
      <c r="AK31" s="705"/>
      <c r="AL31" s="705"/>
      <c r="AM31" s="705"/>
      <c r="AN31" s="705"/>
      <c r="AO31" s="705"/>
      <c r="AP31" s="705"/>
      <c r="AQ31" s="705"/>
      <c r="AR31" s="705"/>
      <c r="AS31" s="705"/>
      <c r="AT31" s="705"/>
      <c r="AU31" s="705"/>
      <c r="AV31" s="705"/>
      <c r="AW31" s="705"/>
      <c r="AX31" s="705"/>
      <c r="AY31" s="705"/>
      <c r="AZ31" s="705"/>
      <c r="BA31" s="705"/>
      <c r="BB31" s="705"/>
      <c r="BC31" s="705"/>
      <c r="BD31" s="705"/>
      <c r="BE31" s="705"/>
      <c r="BF31" s="705"/>
      <c r="BG31" s="705"/>
      <c r="BH31" s="705"/>
      <c r="BI31" s="705"/>
      <c r="BJ31" s="705"/>
      <c r="BK31" s="705"/>
      <c r="BL31" s="705"/>
      <c r="BM31" s="705"/>
      <c r="BN31" s="705"/>
      <c r="BO31" s="705"/>
      <c r="BP31" s="705"/>
      <c r="BQ31" s="705"/>
      <c r="BR31" s="705"/>
      <c r="BS31" s="705"/>
      <c r="BT31" s="705"/>
      <c r="BU31" s="705"/>
      <c r="BV31" s="705"/>
      <c r="BW31" s="705"/>
      <c r="BX31" s="705"/>
      <c r="BY31" s="705"/>
      <c r="BZ31" s="705"/>
      <c r="CA31" s="705"/>
      <c r="CB31" s="705"/>
      <c r="CC31" s="705"/>
      <c r="CD31" s="705"/>
      <c r="CE31" s="705"/>
      <c r="CF31" s="705"/>
      <c r="CG31" s="705"/>
      <c r="CH31" s="705"/>
      <c r="CI31" s="705"/>
      <c r="CJ31" s="705"/>
      <c r="CK31" s="705"/>
      <c r="CL31" s="705"/>
      <c r="CM31" s="705"/>
      <c r="CN31" s="705"/>
      <c r="CO31" s="705"/>
      <c r="CP31" s="705"/>
      <c r="CQ31" s="705"/>
      <c r="CR31" s="705"/>
      <c r="CS31" s="705"/>
      <c r="CT31" s="705"/>
      <c r="CU31" s="705"/>
      <c r="CV31" s="705"/>
      <c r="CW31" s="705"/>
      <c r="CX31" s="705"/>
      <c r="CY31" s="705"/>
      <c r="CZ31" s="705"/>
      <c r="DA31" s="705"/>
      <c r="DB31" s="705"/>
      <c r="DC31" s="705"/>
      <c r="DD31" s="705"/>
      <c r="DE31" s="705"/>
      <c r="DF31" s="705"/>
      <c r="DG31" s="705"/>
      <c r="DH31" s="705"/>
      <c r="DI31" s="705"/>
      <c r="DJ31" s="705"/>
      <c r="DK31" s="705"/>
      <c r="DL31" s="705"/>
      <c r="DM31" s="705"/>
      <c r="DN31" s="705"/>
      <c r="DO31" s="705"/>
      <c r="DP31" s="705"/>
      <c r="DQ31" s="705"/>
      <c r="DR31" s="705"/>
      <c r="DS31" s="705"/>
      <c r="DT31" s="705"/>
      <c r="DU31" s="705"/>
      <c r="DV31" s="705"/>
      <c r="DW31" s="705"/>
      <c r="DX31" s="705"/>
      <c r="DY31" s="705"/>
      <c r="DZ31" s="705"/>
      <c r="EA31" s="705"/>
      <c r="EB31" s="705"/>
      <c r="EC31" s="705"/>
      <c r="ED31" s="705"/>
      <c r="EE31" s="705"/>
      <c r="EF31" s="705"/>
      <c r="EG31" s="705"/>
      <c r="EH31" s="705"/>
      <c r="EI31" s="705"/>
      <c r="EJ31" s="705"/>
      <c r="EK31" s="705"/>
      <c r="EL31" s="705"/>
      <c r="EM31" s="705"/>
      <c r="EN31" s="705"/>
      <c r="EO31" s="705"/>
      <c r="EP31" s="705"/>
      <c r="EQ31" s="705"/>
      <c r="ER31" s="705"/>
      <c r="ES31" s="705"/>
      <c r="ET31" s="705"/>
      <c r="EU31" s="705"/>
      <c r="EV31" s="705"/>
      <c r="EW31" s="705"/>
      <c r="EX31" s="705"/>
      <c r="EY31" s="705"/>
      <c r="EZ31" s="705"/>
      <c r="FA31" s="705"/>
      <c r="FB31" s="705"/>
      <c r="FC31" s="705"/>
      <c r="FD31" s="705"/>
      <c r="FE31" s="705"/>
      <c r="FF31" s="705"/>
      <c r="FG31" s="705"/>
      <c r="FH31" s="705"/>
      <c r="FI31" s="705"/>
      <c r="FJ31" s="705"/>
      <c r="FK31" s="705"/>
      <c r="FL31" s="705"/>
      <c r="FM31" s="705"/>
      <c r="FN31" s="705"/>
      <c r="FO31" s="705"/>
      <c r="FP31" s="705"/>
      <c r="FQ31" s="705"/>
      <c r="FR31" s="705"/>
      <c r="FS31" s="705"/>
      <c r="FT31" s="705"/>
      <c r="FU31" s="705"/>
      <c r="FV31" s="705"/>
      <c r="FW31" s="705"/>
      <c r="FX31" s="705"/>
      <c r="FY31" s="705"/>
      <c r="FZ31" s="705"/>
      <c r="GA31" s="705"/>
      <c r="GB31" s="705"/>
      <c r="GC31" s="705"/>
      <c r="GD31" s="705"/>
      <c r="GE31" s="705"/>
      <c r="GF31" s="705"/>
      <c r="GG31" s="705"/>
      <c r="GH31" s="705"/>
      <c r="GI31" s="705"/>
      <c r="GJ31" s="705"/>
      <c r="GK31" s="705"/>
      <c r="GL31" s="705"/>
      <c r="GM31" s="705"/>
      <c r="GN31" s="705"/>
      <c r="GO31" s="705"/>
      <c r="GP31" s="705"/>
      <c r="GQ31" s="705"/>
      <c r="GR31" s="705"/>
      <c r="GS31" s="705"/>
      <c r="GT31" s="705"/>
      <c r="GU31" s="705"/>
      <c r="GV31" s="705"/>
      <c r="GW31" s="705"/>
      <c r="GX31" s="705"/>
      <c r="GY31" s="705"/>
      <c r="GZ31" s="705"/>
      <c r="HA31" s="705"/>
      <c r="HB31" s="705"/>
      <c r="HC31" s="705"/>
      <c r="HD31" s="705"/>
      <c r="HE31" s="705"/>
      <c r="HF31" s="705"/>
      <c r="HG31" s="705"/>
      <c r="HH31" s="705"/>
      <c r="HI31" s="705"/>
      <c r="HJ31" s="705"/>
      <c r="HK31" s="705"/>
      <c r="HL31" s="705"/>
      <c r="HM31" s="705"/>
      <c r="HN31" s="705"/>
      <c r="HO31" s="705"/>
      <c r="HP31" s="705"/>
      <c r="HQ31" s="705"/>
      <c r="HR31" s="705"/>
      <c r="HS31" s="705"/>
      <c r="HT31" s="705"/>
      <c r="HU31" s="705"/>
      <c r="HV31" s="705"/>
      <c r="HW31" s="705"/>
    </row>
    <row r="32" spans="1:231" ht="15.6" customHeight="1">
      <c r="A32" s="702" t="s">
        <v>410</v>
      </c>
      <c r="B32" s="732">
        <v>9000</v>
      </c>
      <c r="C32" s="732">
        <f>ROUND(7901.16,-3)</f>
        <v>8000</v>
      </c>
      <c r="D32" s="700"/>
      <c r="E32" s="721">
        <f t="shared" si="1"/>
        <v>-0.11111111111111116</v>
      </c>
      <c r="F32" s="722"/>
      <c r="G32" s="700"/>
      <c r="H32" s="700"/>
      <c r="I32" s="700"/>
      <c r="J32" s="700"/>
      <c r="K32" s="756"/>
      <c r="L32" s="986"/>
      <c r="M32" s="987"/>
      <c r="N32" s="986"/>
      <c r="O32" s="986"/>
      <c r="P32" s="704"/>
      <c r="Q32" s="704"/>
      <c r="R32" s="704"/>
      <c r="S32" s="704"/>
      <c r="T32" s="704"/>
      <c r="U32" s="704"/>
      <c r="V32" s="704"/>
      <c r="W32" s="704"/>
      <c r="X32" s="705"/>
      <c r="Y32" s="705"/>
      <c r="Z32" s="705"/>
      <c r="AA32" s="705"/>
      <c r="AB32" s="705"/>
      <c r="AC32" s="705"/>
      <c r="AD32" s="705"/>
      <c r="AE32" s="705"/>
      <c r="AF32" s="705"/>
      <c r="AG32" s="705"/>
      <c r="AH32" s="705"/>
      <c r="AI32" s="705"/>
      <c r="AJ32" s="705"/>
      <c r="AK32" s="705"/>
      <c r="AL32" s="705"/>
      <c r="AM32" s="705"/>
      <c r="AN32" s="705"/>
      <c r="AO32" s="705"/>
      <c r="AP32" s="705"/>
      <c r="AQ32" s="705"/>
      <c r="AR32" s="705"/>
      <c r="AS32" s="705"/>
      <c r="AT32" s="705"/>
      <c r="AU32" s="705"/>
      <c r="AV32" s="705"/>
      <c r="AW32" s="705"/>
      <c r="AX32" s="705"/>
      <c r="AY32" s="705"/>
      <c r="AZ32" s="705"/>
      <c r="BA32" s="705"/>
      <c r="BB32" s="705"/>
      <c r="BC32" s="705"/>
      <c r="BD32" s="705"/>
      <c r="BE32" s="705"/>
      <c r="BF32" s="705"/>
      <c r="BG32" s="705"/>
      <c r="BH32" s="705"/>
      <c r="BI32" s="705"/>
      <c r="BJ32" s="705"/>
      <c r="BK32" s="705"/>
      <c r="BL32" s="705"/>
      <c r="BM32" s="705"/>
      <c r="BN32" s="705"/>
      <c r="BO32" s="705"/>
      <c r="BP32" s="705"/>
      <c r="BQ32" s="705"/>
      <c r="BR32" s="705"/>
      <c r="BS32" s="705"/>
      <c r="BT32" s="705"/>
      <c r="BU32" s="705"/>
      <c r="BV32" s="705"/>
      <c r="BW32" s="705"/>
      <c r="BX32" s="705"/>
      <c r="BY32" s="705"/>
      <c r="BZ32" s="705"/>
      <c r="CA32" s="705"/>
      <c r="CB32" s="705"/>
      <c r="CC32" s="705"/>
      <c r="CD32" s="705"/>
      <c r="CE32" s="705"/>
      <c r="CF32" s="705"/>
      <c r="CG32" s="705"/>
      <c r="CH32" s="705"/>
      <c r="CI32" s="705"/>
      <c r="CJ32" s="705"/>
      <c r="CK32" s="705"/>
      <c r="CL32" s="705"/>
      <c r="CM32" s="705"/>
      <c r="CN32" s="705"/>
      <c r="CO32" s="705"/>
      <c r="CP32" s="705"/>
      <c r="CQ32" s="705"/>
      <c r="CR32" s="705"/>
      <c r="CS32" s="705"/>
      <c r="CT32" s="705"/>
      <c r="CU32" s="705"/>
      <c r="CV32" s="705"/>
      <c r="CW32" s="705"/>
      <c r="CX32" s="705"/>
      <c r="CY32" s="705"/>
      <c r="CZ32" s="705"/>
      <c r="DA32" s="705"/>
      <c r="DB32" s="705"/>
      <c r="DC32" s="705"/>
      <c r="DD32" s="705"/>
      <c r="DE32" s="705"/>
      <c r="DF32" s="705"/>
      <c r="DG32" s="705"/>
      <c r="DH32" s="705"/>
      <c r="DI32" s="705"/>
      <c r="DJ32" s="705"/>
      <c r="DK32" s="705"/>
      <c r="DL32" s="705"/>
      <c r="DM32" s="705"/>
      <c r="DN32" s="705"/>
      <c r="DO32" s="705"/>
      <c r="DP32" s="705"/>
      <c r="DQ32" s="705"/>
      <c r="DR32" s="705"/>
      <c r="DS32" s="705"/>
      <c r="DT32" s="705"/>
      <c r="DU32" s="705"/>
      <c r="DV32" s="705"/>
      <c r="DW32" s="705"/>
      <c r="DX32" s="705"/>
      <c r="DY32" s="705"/>
      <c r="DZ32" s="705"/>
      <c r="EA32" s="705"/>
      <c r="EB32" s="705"/>
      <c r="EC32" s="705"/>
      <c r="ED32" s="705"/>
      <c r="EE32" s="705"/>
      <c r="EF32" s="705"/>
      <c r="EG32" s="705"/>
      <c r="EH32" s="705"/>
      <c r="EI32" s="705"/>
      <c r="EJ32" s="705"/>
      <c r="EK32" s="705"/>
      <c r="EL32" s="705"/>
      <c r="EM32" s="705"/>
      <c r="EN32" s="705"/>
      <c r="EO32" s="705"/>
      <c r="EP32" s="705"/>
      <c r="EQ32" s="705"/>
      <c r="ER32" s="705"/>
      <c r="ES32" s="705"/>
      <c r="ET32" s="705"/>
      <c r="EU32" s="705"/>
      <c r="EV32" s="705"/>
      <c r="EW32" s="705"/>
      <c r="EX32" s="705"/>
      <c r="EY32" s="705"/>
      <c r="EZ32" s="705"/>
      <c r="FA32" s="705"/>
      <c r="FB32" s="705"/>
      <c r="FC32" s="705"/>
      <c r="FD32" s="705"/>
      <c r="FE32" s="705"/>
      <c r="FF32" s="705"/>
      <c r="FG32" s="705"/>
      <c r="FH32" s="705"/>
      <c r="FI32" s="705"/>
      <c r="FJ32" s="705"/>
      <c r="FK32" s="705"/>
      <c r="FL32" s="705"/>
      <c r="FM32" s="705"/>
      <c r="FN32" s="705"/>
      <c r="FO32" s="705"/>
      <c r="FP32" s="705"/>
      <c r="FQ32" s="705"/>
      <c r="FR32" s="705"/>
      <c r="FS32" s="705"/>
      <c r="FT32" s="705"/>
      <c r="FU32" s="705"/>
      <c r="FV32" s="705"/>
      <c r="FW32" s="705"/>
      <c r="FX32" s="705"/>
      <c r="FY32" s="705"/>
      <c r="FZ32" s="705"/>
      <c r="GA32" s="705"/>
      <c r="GB32" s="705"/>
      <c r="GC32" s="705"/>
      <c r="GD32" s="705"/>
      <c r="GE32" s="705"/>
      <c r="GF32" s="705"/>
      <c r="GG32" s="705"/>
      <c r="GH32" s="705"/>
      <c r="GI32" s="705"/>
      <c r="GJ32" s="705"/>
      <c r="GK32" s="705"/>
      <c r="GL32" s="705"/>
      <c r="GM32" s="705"/>
      <c r="GN32" s="705"/>
      <c r="GO32" s="705"/>
      <c r="GP32" s="705"/>
      <c r="GQ32" s="705"/>
      <c r="GR32" s="705"/>
      <c r="GS32" s="705"/>
      <c r="GT32" s="705"/>
      <c r="GU32" s="705"/>
      <c r="GV32" s="705"/>
      <c r="GW32" s="705"/>
      <c r="GX32" s="705"/>
      <c r="GY32" s="705"/>
      <c r="GZ32" s="705"/>
      <c r="HA32" s="705"/>
      <c r="HB32" s="705"/>
      <c r="HC32" s="705"/>
      <c r="HD32" s="705"/>
      <c r="HE32" s="705"/>
      <c r="HF32" s="705"/>
      <c r="HG32" s="705"/>
      <c r="HH32" s="705"/>
      <c r="HI32" s="705"/>
      <c r="HJ32" s="705"/>
      <c r="HK32" s="705"/>
      <c r="HL32" s="705"/>
      <c r="HM32" s="705"/>
      <c r="HN32" s="705"/>
      <c r="HO32" s="705"/>
      <c r="HP32" s="705"/>
      <c r="HQ32" s="705"/>
      <c r="HR32" s="705"/>
      <c r="HS32" s="705"/>
      <c r="HT32" s="705"/>
      <c r="HU32" s="705"/>
      <c r="HV32" s="705"/>
      <c r="HW32" s="705"/>
    </row>
    <row r="33" spans="1:232" ht="15.6" customHeight="1">
      <c r="A33" s="702" t="s">
        <v>438</v>
      </c>
      <c r="B33" s="732">
        <v>888000</v>
      </c>
      <c r="C33" s="732">
        <f>ROUND(930708.28,-3)</f>
        <v>931000</v>
      </c>
      <c r="D33" s="700"/>
      <c r="E33" s="721">
        <f t="shared" si="1"/>
        <v>4.8423423423423317E-2</v>
      </c>
      <c r="F33" s="722"/>
      <c r="G33" s="700"/>
      <c r="H33" s="700"/>
      <c r="I33" s="700"/>
      <c r="J33" s="700"/>
      <c r="K33" s="756"/>
      <c r="L33" s="705"/>
      <c r="M33" s="757"/>
      <c r="N33" s="705"/>
      <c r="O33" s="704"/>
      <c r="P33" s="704"/>
      <c r="Q33" s="704"/>
      <c r="R33" s="704"/>
      <c r="S33" s="704"/>
      <c r="T33" s="704"/>
      <c r="U33" s="704"/>
      <c r="V33" s="704"/>
      <c r="W33" s="704"/>
      <c r="X33" s="705"/>
      <c r="Y33" s="705"/>
      <c r="Z33" s="705"/>
      <c r="AA33" s="705"/>
      <c r="AB33" s="705"/>
      <c r="AC33" s="705"/>
      <c r="AD33" s="705"/>
      <c r="AE33" s="705"/>
      <c r="AF33" s="705"/>
      <c r="AG33" s="705"/>
      <c r="AH33" s="705"/>
      <c r="AI33" s="705"/>
      <c r="AJ33" s="705"/>
      <c r="AK33" s="705"/>
      <c r="AL33" s="705"/>
      <c r="AM33" s="705"/>
      <c r="AN33" s="705"/>
      <c r="AO33" s="705"/>
      <c r="AP33" s="705"/>
      <c r="AQ33" s="705"/>
      <c r="AR33" s="705"/>
      <c r="AS33" s="705"/>
      <c r="AT33" s="705"/>
      <c r="AU33" s="705"/>
      <c r="AV33" s="705"/>
      <c r="AW33" s="705"/>
      <c r="AX33" s="705"/>
      <c r="AY33" s="705"/>
      <c r="AZ33" s="705"/>
      <c r="BA33" s="705"/>
      <c r="BB33" s="705"/>
      <c r="BC33" s="705"/>
      <c r="BD33" s="705"/>
      <c r="BE33" s="705"/>
      <c r="BF33" s="705"/>
      <c r="BG33" s="705"/>
      <c r="BH33" s="705"/>
      <c r="BI33" s="705"/>
      <c r="BJ33" s="705"/>
      <c r="BK33" s="705"/>
      <c r="BL33" s="705"/>
      <c r="BM33" s="705"/>
      <c r="BN33" s="705"/>
      <c r="BO33" s="705"/>
      <c r="BP33" s="705"/>
      <c r="BQ33" s="705"/>
      <c r="BR33" s="705"/>
      <c r="BS33" s="705"/>
      <c r="BT33" s="705"/>
      <c r="BU33" s="705"/>
      <c r="BV33" s="705"/>
      <c r="BW33" s="705"/>
      <c r="BX33" s="705"/>
      <c r="BY33" s="705"/>
      <c r="BZ33" s="705"/>
      <c r="CA33" s="705"/>
      <c r="CB33" s="705"/>
      <c r="CC33" s="705"/>
      <c r="CD33" s="705"/>
      <c r="CE33" s="705"/>
      <c r="CF33" s="705"/>
      <c r="CG33" s="705"/>
      <c r="CH33" s="705"/>
      <c r="CI33" s="705"/>
      <c r="CJ33" s="705"/>
      <c r="CK33" s="705"/>
      <c r="CL33" s="705"/>
      <c r="CM33" s="705"/>
      <c r="CN33" s="705"/>
      <c r="CO33" s="705"/>
      <c r="CP33" s="705"/>
      <c r="CQ33" s="705"/>
      <c r="CR33" s="705"/>
      <c r="CS33" s="705"/>
      <c r="CT33" s="705"/>
      <c r="CU33" s="705"/>
      <c r="CV33" s="705"/>
      <c r="CW33" s="705"/>
      <c r="CX33" s="705"/>
      <c r="CY33" s="705"/>
      <c r="CZ33" s="705"/>
      <c r="DA33" s="705"/>
      <c r="DB33" s="705"/>
      <c r="DC33" s="705"/>
      <c r="DD33" s="705"/>
      <c r="DE33" s="705"/>
      <c r="DF33" s="705"/>
      <c r="DG33" s="705"/>
      <c r="DH33" s="705"/>
      <c r="DI33" s="705"/>
      <c r="DJ33" s="705"/>
      <c r="DK33" s="705"/>
      <c r="DL33" s="705"/>
      <c r="DM33" s="705"/>
      <c r="DN33" s="705"/>
      <c r="DO33" s="705"/>
      <c r="DP33" s="705"/>
      <c r="DQ33" s="705"/>
      <c r="DR33" s="705"/>
      <c r="DS33" s="705"/>
      <c r="DT33" s="705"/>
      <c r="DU33" s="705"/>
      <c r="DV33" s="705"/>
      <c r="DW33" s="705"/>
      <c r="DX33" s="705"/>
      <c r="DY33" s="705"/>
      <c r="DZ33" s="705"/>
      <c r="EA33" s="705"/>
      <c r="EB33" s="705"/>
      <c r="EC33" s="705"/>
      <c r="ED33" s="705"/>
      <c r="EE33" s="705"/>
      <c r="EF33" s="705"/>
      <c r="EG33" s="705"/>
      <c r="EH33" s="705"/>
      <c r="EI33" s="705"/>
      <c r="EJ33" s="705"/>
      <c r="EK33" s="705"/>
      <c r="EL33" s="705"/>
      <c r="EM33" s="705"/>
      <c r="EN33" s="705"/>
      <c r="EO33" s="705"/>
      <c r="EP33" s="705"/>
      <c r="EQ33" s="705"/>
      <c r="ER33" s="705"/>
      <c r="ES33" s="705"/>
      <c r="ET33" s="705"/>
      <c r="EU33" s="705"/>
      <c r="EV33" s="705"/>
      <c r="EW33" s="705"/>
      <c r="EX33" s="705"/>
      <c r="EY33" s="705"/>
      <c r="EZ33" s="705"/>
      <c r="FA33" s="705"/>
      <c r="FB33" s="705"/>
      <c r="FC33" s="705"/>
      <c r="FD33" s="705"/>
      <c r="FE33" s="705"/>
      <c r="FF33" s="705"/>
      <c r="FG33" s="705"/>
      <c r="FH33" s="705"/>
      <c r="FI33" s="705"/>
      <c r="FJ33" s="705"/>
      <c r="FK33" s="705"/>
      <c r="FL33" s="705"/>
      <c r="FM33" s="705"/>
      <c r="FN33" s="705"/>
      <c r="FO33" s="705"/>
      <c r="FP33" s="705"/>
      <c r="FQ33" s="705"/>
      <c r="FR33" s="705"/>
      <c r="FS33" s="705"/>
      <c r="FT33" s="705"/>
      <c r="FU33" s="705"/>
      <c r="FV33" s="705"/>
      <c r="FW33" s="705"/>
      <c r="FX33" s="705"/>
      <c r="FY33" s="705"/>
      <c r="FZ33" s="705"/>
      <c r="GA33" s="705"/>
      <c r="GB33" s="705"/>
      <c r="GC33" s="705"/>
      <c r="GD33" s="705"/>
      <c r="GE33" s="705"/>
      <c r="GF33" s="705"/>
      <c r="GG33" s="705"/>
      <c r="GH33" s="705"/>
      <c r="GI33" s="705"/>
      <c r="GJ33" s="705"/>
      <c r="GK33" s="705"/>
      <c r="GL33" s="705"/>
      <c r="GM33" s="705"/>
      <c r="GN33" s="705"/>
      <c r="GO33" s="705"/>
      <c r="GP33" s="705"/>
      <c r="GQ33" s="705"/>
      <c r="GR33" s="705"/>
      <c r="GS33" s="705"/>
      <c r="GT33" s="705"/>
      <c r="GU33" s="705"/>
      <c r="GV33" s="705"/>
      <c r="GW33" s="705"/>
      <c r="GX33" s="705"/>
      <c r="GY33" s="705"/>
      <c r="GZ33" s="705"/>
      <c r="HA33" s="705"/>
      <c r="HB33" s="705"/>
      <c r="HC33" s="705"/>
      <c r="HD33" s="705"/>
      <c r="HE33" s="705"/>
      <c r="HF33" s="705"/>
      <c r="HG33" s="705"/>
      <c r="HH33" s="705"/>
      <c r="HI33" s="705"/>
      <c r="HJ33" s="705"/>
      <c r="HK33" s="705"/>
      <c r="HL33" s="705"/>
      <c r="HM33" s="705"/>
      <c r="HN33" s="705"/>
      <c r="HO33" s="705"/>
      <c r="HP33" s="705"/>
      <c r="HQ33" s="705"/>
      <c r="HR33" s="705"/>
      <c r="HS33" s="705"/>
      <c r="HT33" s="705"/>
      <c r="HU33" s="705"/>
      <c r="HV33" s="705"/>
      <c r="HW33" s="705"/>
    </row>
    <row r="34" spans="1:232" ht="15.6" customHeight="1">
      <c r="A34" s="702" t="s">
        <v>439</v>
      </c>
      <c r="B34" s="732">
        <v>174000</v>
      </c>
      <c r="C34" s="732">
        <f>ROUND(190864.24,-3)</f>
        <v>191000</v>
      </c>
      <c r="D34" s="700"/>
      <c r="E34" s="721">
        <f t="shared" si="1"/>
        <v>9.7701149425287293E-2</v>
      </c>
      <c r="F34" s="722"/>
      <c r="G34" s="700"/>
      <c r="H34" s="700"/>
      <c r="I34" s="700"/>
      <c r="J34" s="700"/>
      <c r="K34" s="723"/>
      <c r="L34" s="704"/>
      <c r="M34" s="724"/>
      <c r="N34" s="704"/>
      <c r="O34" s="986"/>
      <c r="P34" s="704"/>
      <c r="Q34" s="704"/>
      <c r="R34" s="704"/>
      <c r="S34" s="704"/>
      <c r="T34" s="704"/>
      <c r="U34" s="704"/>
      <c r="V34" s="704"/>
      <c r="W34" s="704"/>
      <c r="X34" s="705"/>
      <c r="Y34" s="705"/>
      <c r="Z34" s="705"/>
      <c r="AA34" s="705"/>
      <c r="AB34" s="705"/>
      <c r="AC34" s="705"/>
      <c r="AD34" s="705"/>
      <c r="AE34" s="705"/>
      <c r="AF34" s="705"/>
      <c r="AG34" s="705"/>
      <c r="AH34" s="705"/>
      <c r="AI34" s="705"/>
      <c r="AJ34" s="705"/>
      <c r="AK34" s="705"/>
      <c r="AL34" s="705"/>
      <c r="AM34" s="705"/>
      <c r="AN34" s="705"/>
      <c r="AO34" s="705"/>
      <c r="AP34" s="705"/>
      <c r="AQ34" s="705"/>
      <c r="AR34" s="705"/>
      <c r="AS34" s="705"/>
      <c r="AT34" s="705"/>
      <c r="AU34" s="705"/>
      <c r="AV34" s="705"/>
      <c r="AW34" s="705"/>
      <c r="AX34" s="705"/>
      <c r="AY34" s="705"/>
      <c r="AZ34" s="705"/>
      <c r="BA34" s="705"/>
      <c r="BB34" s="705"/>
      <c r="BC34" s="705"/>
      <c r="BD34" s="705"/>
      <c r="BE34" s="705"/>
      <c r="BF34" s="705"/>
      <c r="BG34" s="705"/>
      <c r="BH34" s="705"/>
      <c r="BI34" s="705"/>
      <c r="BJ34" s="705"/>
      <c r="BK34" s="705"/>
      <c r="BL34" s="705"/>
      <c r="BM34" s="705"/>
      <c r="BN34" s="705"/>
      <c r="BO34" s="705"/>
      <c r="BP34" s="705"/>
      <c r="BQ34" s="705"/>
      <c r="BR34" s="705"/>
      <c r="BS34" s="705"/>
      <c r="BT34" s="705"/>
      <c r="BU34" s="705"/>
      <c r="BV34" s="705"/>
      <c r="BW34" s="705"/>
      <c r="BX34" s="705"/>
      <c r="BY34" s="705"/>
      <c r="BZ34" s="705"/>
      <c r="CA34" s="705"/>
      <c r="CB34" s="705"/>
      <c r="CC34" s="705"/>
      <c r="CD34" s="705"/>
      <c r="CE34" s="705"/>
      <c r="CF34" s="705"/>
      <c r="CG34" s="705"/>
      <c r="CH34" s="705"/>
      <c r="CI34" s="705"/>
      <c r="CJ34" s="705"/>
      <c r="CK34" s="705"/>
      <c r="CL34" s="705"/>
      <c r="CM34" s="705"/>
      <c r="CN34" s="705"/>
      <c r="CO34" s="705"/>
      <c r="CP34" s="705"/>
      <c r="CQ34" s="705"/>
      <c r="CR34" s="705"/>
      <c r="CS34" s="705"/>
      <c r="CT34" s="705"/>
      <c r="CU34" s="705"/>
      <c r="CV34" s="705"/>
      <c r="CW34" s="705"/>
      <c r="CX34" s="705"/>
      <c r="CY34" s="705"/>
      <c r="CZ34" s="705"/>
      <c r="DA34" s="705"/>
      <c r="DB34" s="705"/>
      <c r="DC34" s="705"/>
      <c r="DD34" s="705"/>
      <c r="DE34" s="705"/>
      <c r="DF34" s="705"/>
      <c r="DG34" s="705"/>
      <c r="DH34" s="705"/>
      <c r="DI34" s="705"/>
      <c r="DJ34" s="705"/>
      <c r="DK34" s="705"/>
      <c r="DL34" s="705"/>
      <c r="DM34" s="705"/>
      <c r="DN34" s="705"/>
      <c r="DO34" s="705"/>
      <c r="DP34" s="705"/>
      <c r="DQ34" s="705"/>
      <c r="DR34" s="705"/>
      <c r="DS34" s="705"/>
      <c r="DT34" s="705"/>
      <c r="DU34" s="705"/>
      <c r="DV34" s="705"/>
      <c r="DW34" s="705"/>
      <c r="DX34" s="705"/>
      <c r="DY34" s="705"/>
      <c r="DZ34" s="705"/>
      <c r="EA34" s="705"/>
      <c r="EB34" s="705"/>
      <c r="EC34" s="705"/>
      <c r="ED34" s="705"/>
      <c r="EE34" s="705"/>
      <c r="EF34" s="705"/>
      <c r="EG34" s="705"/>
      <c r="EH34" s="705"/>
      <c r="EI34" s="705"/>
      <c r="EJ34" s="705"/>
      <c r="EK34" s="705"/>
      <c r="EL34" s="705"/>
      <c r="EM34" s="705"/>
      <c r="EN34" s="705"/>
      <c r="EO34" s="705"/>
      <c r="EP34" s="705"/>
      <c r="EQ34" s="705"/>
      <c r="ER34" s="705"/>
      <c r="ES34" s="705"/>
      <c r="ET34" s="705"/>
      <c r="EU34" s="705"/>
      <c r="EV34" s="705"/>
      <c r="EW34" s="705"/>
      <c r="EX34" s="705"/>
      <c r="EY34" s="705"/>
      <c r="EZ34" s="705"/>
      <c r="FA34" s="705"/>
      <c r="FB34" s="705"/>
      <c r="FC34" s="705"/>
      <c r="FD34" s="705"/>
      <c r="FE34" s="705"/>
      <c r="FF34" s="705"/>
      <c r="FG34" s="705"/>
      <c r="FH34" s="705"/>
      <c r="FI34" s="705"/>
      <c r="FJ34" s="705"/>
      <c r="FK34" s="705"/>
      <c r="FL34" s="705"/>
      <c r="FM34" s="705"/>
      <c r="FN34" s="705"/>
      <c r="FO34" s="705"/>
      <c r="FP34" s="705"/>
      <c r="FQ34" s="705"/>
      <c r="FR34" s="705"/>
      <c r="FS34" s="705"/>
      <c r="FT34" s="705"/>
      <c r="FU34" s="705"/>
      <c r="FV34" s="705"/>
      <c r="FW34" s="705"/>
      <c r="FX34" s="705"/>
      <c r="FY34" s="705"/>
      <c r="FZ34" s="705"/>
      <c r="GA34" s="705"/>
      <c r="GB34" s="705"/>
      <c r="GC34" s="705"/>
      <c r="GD34" s="705"/>
      <c r="GE34" s="705"/>
      <c r="GF34" s="705"/>
      <c r="GG34" s="705"/>
      <c r="GH34" s="705"/>
      <c r="GI34" s="705"/>
      <c r="GJ34" s="705"/>
      <c r="GK34" s="705"/>
      <c r="GL34" s="705"/>
      <c r="GM34" s="705"/>
      <c r="GN34" s="705"/>
      <c r="GO34" s="705"/>
      <c r="GP34" s="705"/>
      <c r="GQ34" s="705"/>
      <c r="GR34" s="705"/>
      <c r="GS34" s="705"/>
      <c r="GT34" s="705"/>
      <c r="GU34" s="705"/>
      <c r="GV34" s="705"/>
      <c r="GW34" s="705"/>
      <c r="GX34" s="705"/>
      <c r="GY34" s="705"/>
      <c r="GZ34" s="705"/>
      <c r="HA34" s="705"/>
      <c r="HB34" s="705"/>
      <c r="HC34" s="705"/>
      <c r="HD34" s="705"/>
      <c r="HE34" s="705"/>
      <c r="HF34" s="705"/>
      <c r="HG34" s="705"/>
      <c r="HH34" s="705"/>
      <c r="HI34" s="705"/>
      <c r="HJ34" s="705"/>
      <c r="HK34" s="705"/>
      <c r="HL34" s="705"/>
      <c r="HM34" s="705"/>
      <c r="HN34" s="705"/>
      <c r="HO34" s="705"/>
      <c r="HP34" s="705"/>
      <c r="HQ34" s="705"/>
      <c r="HR34" s="705"/>
      <c r="HS34" s="705"/>
      <c r="HT34" s="705"/>
      <c r="HU34" s="705"/>
      <c r="HV34" s="705"/>
      <c r="HW34" s="705"/>
    </row>
    <row r="35" spans="1:232" ht="15.6" customHeight="1">
      <c r="A35" s="702" t="s">
        <v>409</v>
      </c>
      <c r="B35" s="732">
        <v>103000</v>
      </c>
      <c r="C35" s="732">
        <f>ROUND(130891,-3)</f>
        <v>131000</v>
      </c>
      <c r="D35" s="700"/>
      <c r="E35" s="721">
        <f t="shared" si="1"/>
        <v>0.27184466019417486</v>
      </c>
      <c r="F35" s="722"/>
      <c r="G35" s="700"/>
      <c r="H35" s="700"/>
      <c r="I35" s="700"/>
      <c r="J35" s="700"/>
      <c r="K35" s="723"/>
      <c r="L35" s="704"/>
      <c r="M35" s="724"/>
      <c r="N35" s="704"/>
      <c r="O35" s="704"/>
      <c r="P35" s="704"/>
      <c r="Q35" s="704"/>
      <c r="R35" s="704"/>
      <c r="S35" s="704"/>
      <c r="T35" s="704"/>
      <c r="U35" s="704"/>
      <c r="V35" s="704"/>
      <c r="W35" s="704"/>
      <c r="X35" s="705"/>
      <c r="Y35" s="705"/>
      <c r="Z35" s="705"/>
      <c r="AA35" s="705"/>
      <c r="AB35" s="705"/>
      <c r="AC35" s="705"/>
      <c r="AD35" s="705"/>
      <c r="AE35" s="705"/>
      <c r="AF35" s="705"/>
      <c r="AG35" s="705"/>
      <c r="AH35" s="705"/>
      <c r="AI35" s="705"/>
      <c r="AJ35" s="705"/>
      <c r="AK35" s="705"/>
      <c r="AL35" s="705"/>
      <c r="AM35" s="705"/>
      <c r="AN35" s="705"/>
      <c r="AO35" s="705"/>
      <c r="AP35" s="705"/>
      <c r="AQ35" s="705"/>
      <c r="AR35" s="705"/>
      <c r="AS35" s="705"/>
      <c r="AT35" s="705"/>
      <c r="AU35" s="705"/>
      <c r="AV35" s="705"/>
      <c r="AW35" s="705"/>
      <c r="AX35" s="705"/>
      <c r="AY35" s="705"/>
      <c r="AZ35" s="705"/>
      <c r="BA35" s="705"/>
      <c r="BB35" s="705"/>
      <c r="BC35" s="705"/>
      <c r="BD35" s="705"/>
      <c r="BE35" s="705"/>
      <c r="BF35" s="705"/>
      <c r="BG35" s="705"/>
      <c r="BH35" s="705"/>
      <c r="BI35" s="705"/>
      <c r="BJ35" s="705"/>
      <c r="BK35" s="705"/>
      <c r="BL35" s="705"/>
      <c r="BM35" s="705"/>
      <c r="BN35" s="705"/>
      <c r="BO35" s="705"/>
      <c r="BP35" s="705"/>
      <c r="BQ35" s="705"/>
      <c r="BR35" s="705"/>
      <c r="BS35" s="705"/>
      <c r="BT35" s="705"/>
      <c r="BU35" s="705"/>
      <c r="BV35" s="705"/>
      <c r="BW35" s="705"/>
      <c r="BX35" s="705"/>
      <c r="BY35" s="705"/>
      <c r="BZ35" s="705"/>
      <c r="CA35" s="705"/>
      <c r="CB35" s="705"/>
      <c r="CC35" s="705"/>
      <c r="CD35" s="705"/>
      <c r="CE35" s="705"/>
      <c r="CF35" s="705"/>
      <c r="CG35" s="705"/>
      <c r="CH35" s="705"/>
      <c r="CI35" s="705"/>
      <c r="CJ35" s="705"/>
      <c r="CK35" s="705"/>
      <c r="CL35" s="705"/>
      <c r="CM35" s="705"/>
      <c r="CN35" s="705"/>
      <c r="CO35" s="705"/>
      <c r="CP35" s="705"/>
      <c r="CQ35" s="705"/>
      <c r="CR35" s="705"/>
      <c r="CS35" s="705"/>
      <c r="CT35" s="705"/>
      <c r="CU35" s="705"/>
      <c r="CV35" s="705"/>
      <c r="CW35" s="705"/>
      <c r="CX35" s="705"/>
      <c r="CY35" s="705"/>
      <c r="CZ35" s="705"/>
      <c r="DA35" s="705"/>
      <c r="DB35" s="705"/>
      <c r="DC35" s="705"/>
      <c r="DD35" s="705"/>
      <c r="DE35" s="705"/>
      <c r="DF35" s="705"/>
      <c r="DG35" s="705"/>
      <c r="DH35" s="705"/>
      <c r="DI35" s="705"/>
      <c r="DJ35" s="705"/>
      <c r="DK35" s="705"/>
      <c r="DL35" s="705"/>
      <c r="DM35" s="705"/>
      <c r="DN35" s="705"/>
      <c r="DO35" s="705"/>
      <c r="DP35" s="705"/>
      <c r="DQ35" s="705"/>
      <c r="DR35" s="705"/>
      <c r="DS35" s="705"/>
      <c r="DT35" s="705"/>
      <c r="DU35" s="705"/>
      <c r="DV35" s="705"/>
      <c r="DW35" s="705"/>
      <c r="DX35" s="705"/>
      <c r="DY35" s="705"/>
      <c r="DZ35" s="705"/>
      <c r="EA35" s="705"/>
      <c r="EB35" s="705"/>
      <c r="EC35" s="705"/>
      <c r="ED35" s="705"/>
      <c r="EE35" s="705"/>
      <c r="EF35" s="705"/>
      <c r="EG35" s="705"/>
      <c r="EH35" s="705"/>
      <c r="EI35" s="705"/>
      <c r="EJ35" s="705"/>
      <c r="EK35" s="705"/>
      <c r="EL35" s="705"/>
      <c r="EM35" s="705"/>
      <c r="EN35" s="705"/>
      <c r="EO35" s="705"/>
      <c r="EP35" s="705"/>
      <c r="EQ35" s="705"/>
      <c r="ER35" s="705"/>
      <c r="ES35" s="705"/>
      <c r="ET35" s="705"/>
      <c r="EU35" s="705"/>
      <c r="EV35" s="705"/>
      <c r="EW35" s="705"/>
      <c r="EX35" s="705"/>
      <c r="EY35" s="705"/>
      <c r="EZ35" s="705"/>
      <c r="FA35" s="705"/>
      <c r="FB35" s="705"/>
      <c r="FC35" s="705"/>
      <c r="FD35" s="705"/>
      <c r="FE35" s="705"/>
      <c r="FF35" s="705"/>
      <c r="FG35" s="705"/>
      <c r="FH35" s="705"/>
      <c r="FI35" s="705"/>
      <c r="FJ35" s="705"/>
      <c r="FK35" s="705"/>
      <c r="FL35" s="705"/>
      <c r="FM35" s="705"/>
      <c r="FN35" s="705"/>
      <c r="FO35" s="705"/>
      <c r="FP35" s="705"/>
      <c r="FQ35" s="705"/>
      <c r="FR35" s="705"/>
      <c r="FS35" s="705"/>
      <c r="FT35" s="705"/>
      <c r="FU35" s="705"/>
      <c r="FV35" s="705"/>
      <c r="FW35" s="705"/>
      <c r="FX35" s="705"/>
      <c r="FY35" s="705"/>
      <c r="FZ35" s="705"/>
      <c r="GA35" s="705"/>
      <c r="GB35" s="705"/>
      <c r="GC35" s="705"/>
      <c r="GD35" s="705"/>
      <c r="GE35" s="705"/>
      <c r="GF35" s="705"/>
      <c r="GG35" s="705"/>
      <c r="GH35" s="705"/>
      <c r="GI35" s="705"/>
      <c r="GJ35" s="705"/>
      <c r="GK35" s="705"/>
      <c r="GL35" s="705"/>
      <c r="GM35" s="705"/>
      <c r="GN35" s="705"/>
      <c r="GO35" s="705"/>
      <c r="GP35" s="705"/>
      <c r="GQ35" s="705"/>
      <c r="GR35" s="705"/>
      <c r="GS35" s="705"/>
      <c r="GT35" s="705"/>
      <c r="GU35" s="705"/>
      <c r="GV35" s="705"/>
      <c r="GW35" s="705"/>
      <c r="GX35" s="705"/>
      <c r="GY35" s="705"/>
      <c r="GZ35" s="705"/>
      <c r="HA35" s="705"/>
      <c r="HB35" s="705"/>
      <c r="HC35" s="705"/>
      <c r="HD35" s="705"/>
      <c r="HE35" s="705"/>
      <c r="HF35" s="705"/>
      <c r="HG35" s="705"/>
      <c r="HH35" s="705"/>
      <c r="HI35" s="705"/>
      <c r="HJ35" s="705"/>
      <c r="HK35" s="705"/>
      <c r="HL35" s="705"/>
      <c r="HM35" s="705"/>
      <c r="HN35" s="705"/>
      <c r="HO35" s="705"/>
      <c r="HP35" s="705"/>
      <c r="HQ35" s="705"/>
      <c r="HR35" s="705"/>
      <c r="HS35" s="705"/>
      <c r="HT35" s="705"/>
      <c r="HU35" s="705"/>
      <c r="HV35" s="705"/>
      <c r="HW35" s="705"/>
    </row>
    <row r="36" spans="1:232" ht="15.6" customHeight="1">
      <c r="A36" s="702" t="s">
        <v>407</v>
      </c>
      <c r="B36" s="732">
        <v>94000</v>
      </c>
      <c r="C36" s="732">
        <f>ROUND(123476.82,-3)</f>
        <v>123000</v>
      </c>
      <c r="D36" s="700"/>
      <c r="E36" s="721">
        <f t="shared" si="1"/>
        <v>0.3085106382978724</v>
      </c>
      <c r="F36" s="722"/>
      <c r="G36" s="700"/>
      <c r="H36" s="700"/>
      <c r="I36" s="700"/>
      <c r="J36" s="700"/>
      <c r="K36" s="723"/>
      <c r="L36" s="704"/>
      <c r="M36" s="724"/>
      <c r="N36" s="704"/>
      <c r="O36" s="704"/>
      <c r="P36" s="704"/>
      <c r="Q36" s="704"/>
      <c r="R36" s="704"/>
      <c r="S36" s="704"/>
      <c r="T36" s="704"/>
      <c r="U36" s="704"/>
      <c r="V36" s="704"/>
      <c r="W36" s="704"/>
      <c r="X36" s="705"/>
      <c r="Y36" s="705"/>
      <c r="Z36" s="705"/>
      <c r="AA36" s="705"/>
      <c r="AB36" s="705"/>
      <c r="AC36" s="705"/>
      <c r="AD36" s="705"/>
      <c r="AE36" s="705"/>
      <c r="AF36" s="705"/>
      <c r="AG36" s="705"/>
      <c r="AH36" s="705"/>
      <c r="AI36" s="705"/>
      <c r="AJ36" s="705"/>
      <c r="AK36" s="705"/>
      <c r="AL36" s="705"/>
      <c r="AM36" s="705"/>
      <c r="AN36" s="705"/>
      <c r="AO36" s="705"/>
      <c r="AP36" s="705"/>
      <c r="AQ36" s="705"/>
      <c r="AR36" s="705"/>
      <c r="AS36" s="705"/>
      <c r="AT36" s="705"/>
      <c r="AU36" s="705"/>
      <c r="AV36" s="705"/>
      <c r="AW36" s="705"/>
      <c r="AX36" s="705"/>
      <c r="AY36" s="705"/>
      <c r="AZ36" s="705"/>
      <c r="BA36" s="705"/>
      <c r="BB36" s="705"/>
      <c r="BC36" s="705"/>
      <c r="BD36" s="705"/>
      <c r="BE36" s="705"/>
      <c r="BF36" s="705"/>
      <c r="BG36" s="705"/>
      <c r="BH36" s="705"/>
      <c r="BI36" s="705"/>
      <c r="BJ36" s="705"/>
      <c r="BK36" s="705"/>
      <c r="BL36" s="705"/>
      <c r="BM36" s="705"/>
      <c r="BN36" s="705"/>
      <c r="BO36" s="705"/>
      <c r="BP36" s="705"/>
      <c r="BQ36" s="705"/>
      <c r="BR36" s="705"/>
      <c r="BS36" s="705"/>
      <c r="BT36" s="705"/>
      <c r="BU36" s="705"/>
      <c r="BV36" s="705"/>
      <c r="BW36" s="705"/>
      <c r="BX36" s="705"/>
      <c r="BY36" s="705"/>
      <c r="BZ36" s="705"/>
      <c r="CA36" s="705"/>
      <c r="CB36" s="705"/>
      <c r="CC36" s="705"/>
      <c r="CD36" s="705"/>
      <c r="CE36" s="705"/>
      <c r="CF36" s="705"/>
      <c r="CG36" s="705"/>
      <c r="CH36" s="705"/>
      <c r="CI36" s="705"/>
      <c r="CJ36" s="705"/>
      <c r="CK36" s="705"/>
      <c r="CL36" s="705"/>
      <c r="CM36" s="705"/>
      <c r="CN36" s="705"/>
      <c r="CO36" s="705"/>
      <c r="CP36" s="705"/>
      <c r="CQ36" s="705"/>
      <c r="CR36" s="705"/>
      <c r="CS36" s="705"/>
      <c r="CT36" s="705"/>
      <c r="CU36" s="705"/>
      <c r="CV36" s="705"/>
      <c r="CW36" s="705"/>
      <c r="CX36" s="705"/>
      <c r="CY36" s="705"/>
      <c r="CZ36" s="705"/>
      <c r="DA36" s="705"/>
      <c r="DB36" s="705"/>
      <c r="DC36" s="705"/>
      <c r="DD36" s="705"/>
      <c r="DE36" s="705"/>
      <c r="DF36" s="705"/>
      <c r="DG36" s="705"/>
      <c r="DH36" s="705"/>
      <c r="DI36" s="705"/>
      <c r="DJ36" s="705"/>
      <c r="DK36" s="705"/>
      <c r="DL36" s="705"/>
      <c r="DM36" s="705"/>
      <c r="DN36" s="705"/>
      <c r="DO36" s="705"/>
      <c r="DP36" s="705"/>
      <c r="DQ36" s="705"/>
      <c r="DR36" s="705"/>
      <c r="DS36" s="705"/>
      <c r="DT36" s="705"/>
      <c r="DU36" s="705"/>
      <c r="DV36" s="705"/>
      <c r="DW36" s="705"/>
      <c r="DX36" s="705"/>
      <c r="DY36" s="705"/>
      <c r="DZ36" s="705"/>
      <c r="EA36" s="705"/>
      <c r="EB36" s="705"/>
      <c r="EC36" s="705"/>
      <c r="ED36" s="705"/>
      <c r="EE36" s="705"/>
      <c r="EF36" s="705"/>
      <c r="EG36" s="705"/>
      <c r="EH36" s="705"/>
      <c r="EI36" s="705"/>
      <c r="EJ36" s="705"/>
      <c r="EK36" s="705"/>
      <c r="EL36" s="705"/>
      <c r="EM36" s="705"/>
      <c r="EN36" s="705"/>
      <c r="EO36" s="705"/>
      <c r="EP36" s="705"/>
      <c r="EQ36" s="705"/>
      <c r="ER36" s="705"/>
      <c r="ES36" s="705"/>
      <c r="ET36" s="705"/>
      <c r="EU36" s="705"/>
      <c r="EV36" s="705"/>
      <c r="EW36" s="705"/>
      <c r="EX36" s="705"/>
      <c r="EY36" s="705"/>
      <c r="EZ36" s="705"/>
      <c r="FA36" s="705"/>
      <c r="FB36" s="705"/>
      <c r="FC36" s="705"/>
      <c r="FD36" s="705"/>
      <c r="FE36" s="705"/>
      <c r="FF36" s="705"/>
      <c r="FG36" s="705"/>
      <c r="FH36" s="705"/>
      <c r="FI36" s="705"/>
      <c r="FJ36" s="705"/>
      <c r="FK36" s="705"/>
      <c r="FL36" s="705"/>
      <c r="FM36" s="705"/>
      <c r="FN36" s="705"/>
      <c r="FO36" s="705"/>
      <c r="FP36" s="705"/>
      <c r="FQ36" s="705"/>
      <c r="FR36" s="705"/>
      <c r="FS36" s="705"/>
      <c r="FT36" s="705"/>
      <c r="FU36" s="705"/>
      <c r="FV36" s="705"/>
      <c r="FW36" s="705"/>
      <c r="FX36" s="705"/>
      <c r="FY36" s="705"/>
      <c r="FZ36" s="705"/>
      <c r="GA36" s="705"/>
      <c r="GB36" s="705"/>
      <c r="GC36" s="705"/>
      <c r="GD36" s="705"/>
      <c r="GE36" s="705"/>
      <c r="GF36" s="705"/>
      <c r="GG36" s="705"/>
      <c r="GH36" s="705"/>
      <c r="GI36" s="705"/>
      <c r="GJ36" s="705"/>
      <c r="GK36" s="705"/>
      <c r="GL36" s="705"/>
      <c r="GM36" s="705"/>
      <c r="GN36" s="705"/>
      <c r="GO36" s="705"/>
      <c r="GP36" s="705"/>
      <c r="GQ36" s="705"/>
      <c r="GR36" s="705"/>
      <c r="GS36" s="705"/>
      <c r="GT36" s="705"/>
      <c r="GU36" s="705"/>
      <c r="GV36" s="705"/>
      <c r="GW36" s="705"/>
      <c r="GX36" s="705"/>
      <c r="GY36" s="705"/>
      <c r="GZ36" s="705"/>
      <c r="HA36" s="705"/>
      <c r="HB36" s="705"/>
      <c r="HC36" s="705"/>
      <c r="HD36" s="705"/>
      <c r="HE36" s="705"/>
      <c r="HF36" s="705"/>
      <c r="HG36" s="705"/>
      <c r="HH36" s="705"/>
      <c r="HI36" s="705"/>
      <c r="HJ36" s="705"/>
      <c r="HK36" s="705"/>
      <c r="HL36" s="705"/>
      <c r="HM36" s="705"/>
      <c r="HN36" s="705"/>
      <c r="HO36" s="705"/>
      <c r="HP36" s="705"/>
      <c r="HQ36" s="705"/>
      <c r="HR36" s="705"/>
      <c r="HS36" s="705"/>
      <c r="HT36" s="705"/>
      <c r="HU36" s="705"/>
      <c r="HV36" s="705"/>
      <c r="HW36" s="705"/>
    </row>
    <row r="37" spans="1:232" ht="15.6" customHeight="1">
      <c r="A37" s="726"/>
      <c r="B37" s="699"/>
      <c r="C37" s="699"/>
      <c r="D37" s="700"/>
      <c r="E37" s="721"/>
      <c r="F37" s="700"/>
      <c r="G37" s="700"/>
      <c r="H37" s="700"/>
      <c r="I37" s="700"/>
      <c r="J37" s="700"/>
      <c r="K37" s="723"/>
      <c r="L37" s="704"/>
      <c r="M37" s="724"/>
      <c r="N37" s="704"/>
      <c r="O37" s="704"/>
      <c r="P37" s="704"/>
      <c r="Q37" s="704"/>
      <c r="R37" s="704"/>
      <c r="S37" s="704"/>
      <c r="T37" s="704"/>
      <c r="U37" s="704"/>
      <c r="V37" s="704"/>
      <c r="W37" s="704"/>
      <c r="X37" s="705"/>
      <c r="Y37" s="705"/>
      <c r="Z37" s="705"/>
      <c r="AA37" s="705"/>
      <c r="AB37" s="705"/>
      <c r="AC37" s="705"/>
      <c r="AD37" s="705"/>
      <c r="AE37" s="705"/>
      <c r="AF37" s="705"/>
      <c r="AG37" s="705"/>
      <c r="AH37" s="705"/>
      <c r="AI37" s="705"/>
      <c r="AJ37" s="705"/>
      <c r="AK37" s="705"/>
      <c r="AL37" s="705"/>
      <c r="AM37" s="705"/>
      <c r="AN37" s="705"/>
      <c r="AO37" s="705"/>
      <c r="AP37" s="705"/>
      <c r="AQ37" s="705"/>
      <c r="AR37" s="705"/>
      <c r="AS37" s="705"/>
      <c r="AT37" s="705"/>
      <c r="AU37" s="705"/>
      <c r="AV37" s="705"/>
      <c r="AW37" s="705"/>
      <c r="AX37" s="705"/>
      <c r="AY37" s="705"/>
      <c r="AZ37" s="705"/>
      <c r="BA37" s="705"/>
      <c r="BB37" s="705"/>
      <c r="BC37" s="705"/>
      <c r="BD37" s="705"/>
      <c r="BE37" s="705"/>
      <c r="BF37" s="705"/>
      <c r="BG37" s="705"/>
      <c r="BH37" s="705"/>
      <c r="BI37" s="705"/>
      <c r="BJ37" s="705"/>
      <c r="BK37" s="705"/>
      <c r="BL37" s="705"/>
      <c r="BM37" s="705"/>
      <c r="BN37" s="705"/>
      <c r="BO37" s="705"/>
      <c r="BP37" s="705"/>
      <c r="BQ37" s="705"/>
      <c r="BR37" s="705"/>
      <c r="BS37" s="705"/>
      <c r="BT37" s="705"/>
      <c r="BU37" s="705"/>
      <c r="BV37" s="705"/>
      <c r="BW37" s="705"/>
      <c r="BX37" s="705"/>
      <c r="BY37" s="705"/>
      <c r="BZ37" s="705"/>
      <c r="CA37" s="705"/>
      <c r="CB37" s="705"/>
      <c r="CC37" s="705"/>
      <c r="CD37" s="705"/>
      <c r="CE37" s="705"/>
      <c r="CF37" s="705"/>
      <c r="CG37" s="705"/>
      <c r="CH37" s="705"/>
      <c r="CI37" s="705"/>
      <c r="CJ37" s="705"/>
      <c r="CK37" s="705"/>
      <c r="CL37" s="705"/>
      <c r="CM37" s="705"/>
      <c r="CN37" s="705"/>
      <c r="CO37" s="705"/>
      <c r="CP37" s="705"/>
      <c r="CQ37" s="705"/>
      <c r="CR37" s="705"/>
      <c r="CS37" s="705"/>
      <c r="CT37" s="705"/>
      <c r="CU37" s="705"/>
      <c r="CV37" s="705"/>
      <c r="CW37" s="705"/>
      <c r="CX37" s="705"/>
      <c r="CY37" s="705"/>
      <c r="CZ37" s="705"/>
      <c r="DA37" s="705"/>
      <c r="DB37" s="705"/>
      <c r="DC37" s="705"/>
      <c r="DD37" s="705"/>
      <c r="DE37" s="705"/>
      <c r="DF37" s="705"/>
      <c r="DG37" s="705"/>
      <c r="DH37" s="705"/>
      <c r="DI37" s="705"/>
      <c r="DJ37" s="705"/>
      <c r="DK37" s="705"/>
      <c r="DL37" s="705"/>
      <c r="DM37" s="705"/>
      <c r="DN37" s="705"/>
      <c r="DO37" s="705"/>
      <c r="DP37" s="705"/>
      <c r="DQ37" s="705"/>
      <c r="DR37" s="705"/>
      <c r="DS37" s="705"/>
      <c r="DT37" s="705"/>
      <c r="DU37" s="705"/>
      <c r="DV37" s="705"/>
      <c r="DW37" s="705"/>
      <c r="DX37" s="705"/>
      <c r="DY37" s="705"/>
      <c r="DZ37" s="705"/>
      <c r="EA37" s="705"/>
      <c r="EB37" s="705"/>
      <c r="EC37" s="705"/>
      <c r="ED37" s="705"/>
      <c r="EE37" s="705"/>
      <c r="EF37" s="705"/>
      <c r="EG37" s="705"/>
      <c r="EH37" s="705"/>
      <c r="EI37" s="705"/>
      <c r="EJ37" s="705"/>
      <c r="EK37" s="705"/>
      <c r="EL37" s="705"/>
      <c r="EM37" s="705"/>
      <c r="EN37" s="705"/>
      <c r="EO37" s="705"/>
      <c r="EP37" s="705"/>
      <c r="EQ37" s="705"/>
      <c r="ER37" s="705"/>
      <c r="ES37" s="705"/>
      <c r="ET37" s="705"/>
      <c r="EU37" s="705"/>
      <c r="EV37" s="705"/>
      <c r="EW37" s="705"/>
      <c r="EX37" s="705"/>
      <c r="EY37" s="705"/>
      <c r="EZ37" s="705"/>
      <c r="FA37" s="705"/>
      <c r="FB37" s="705"/>
      <c r="FC37" s="705"/>
      <c r="FD37" s="705"/>
      <c r="FE37" s="705"/>
      <c r="FF37" s="705"/>
      <c r="FG37" s="705"/>
      <c r="FH37" s="705"/>
      <c r="FI37" s="705"/>
      <c r="FJ37" s="705"/>
      <c r="FK37" s="705"/>
      <c r="FL37" s="705"/>
      <c r="FM37" s="705"/>
      <c r="FN37" s="705"/>
      <c r="FO37" s="705"/>
      <c r="FP37" s="705"/>
      <c r="FQ37" s="705"/>
      <c r="FR37" s="705"/>
      <c r="FS37" s="705"/>
      <c r="FT37" s="705"/>
      <c r="FU37" s="705"/>
      <c r="FV37" s="705"/>
      <c r="FW37" s="705"/>
      <c r="FX37" s="705"/>
      <c r="FY37" s="705"/>
      <c r="FZ37" s="705"/>
      <c r="GA37" s="705"/>
      <c r="GB37" s="705"/>
      <c r="GC37" s="705"/>
      <c r="GD37" s="705"/>
      <c r="GE37" s="705"/>
      <c r="GF37" s="705"/>
      <c r="GG37" s="705"/>
      <c r="GH37" s="705"/>
      <c r="GI37" s="705"/>
      <c r="GJ37" s="705"/>
      <c r="GK37" s="705"/>
      <c r="GL37" s="705"/>
      <c r="GM37" s="705"/>
      <c r="GN37" s="705"/>
      <c r="GO37" s="705"/>
      <c r="GP37" s="705"/>
      <c r="GQ37" s="705"/>
      <c r="GR37" s="705"/>
      <c r="GS37" s="705"/>
      <c r="GT37" s="705"/>
      <c r="GU37" s="705"/>
      <c r="GV37" s="705"/>
      <c r="GW37" s="705"/>
      <c r="GX37" s="705"/>
      <c r="GY37" s="705"/>
      <c r="GZ37" s="705"/>
      <c r="HA37" s="705"/>
      <c r="HB37" s="705"/>
      <c r="HC37" s="705"/>
      <c r="HD37" s="705"/>
      <c r="HE37" s="705"/>
      <c r="HF37" s="705"/>
      <c r="HG37" s="705"/>
      <c r="HH37" s="705"/>
      <c r="HI37" s="705"/>
      <c r="HJ37" s="705"/>
      <c r="HK37" s="705"/>
      <c r="HL37" s="705"/>
      <c r="HM37" s="705"/>
      <c r="HN37" s="705"/>
      <c r="HO37" s="705"/>
      <c r="HP37" s="705"/>
      <c r="HQ37" s="705"/>
      <c r="HR37" s="705"/>
      <c r="HS37" s="705"/>
      <c r="HT37" s="705"/>
      <c r="HU37" s="705"/>
      <c r="HV37" s="705"/>
      <c r="HW37" s="705"/>
    </row>
    <row r="38" spans="1:232" ht="15.6" customHeight="1">
      <c r="A38" s="712" t="s">
        <v>0</v>
      </c>
      <c r="B38" s="728">
        <f>SUM(B20:B36)</f>
        <v>736401000</v>
      </c>
      <c r="C38" s="728">
        <f>SUM(C20:C36)</f>
        <v>786987000</v>
      </c>
      <c r="D38" s="729"/>
      <c r="E38" s="730">
        <f>(C38/B38)-1</f>
        <v>6.8693551475351056E-2</v>
      </c>
      <c r="F38" s="722"/>
      <c r="G38" s="700"/>
      <c r="H38" s="700"/>
      <c r="I38" s="700"/>
      <c r="J38" s="700"/>
      <c r="K38" s="723"/>
      <c r="L38" s="704"/>
      <c r="M38" s="724"/>
      <c r="N38" s="704"/>
      <c r="O38" s="704"/>
      <c r="P38" s="704"/>
      <c r="Q38" s="704"/>
      <c r="R38" s="704"/>
      <c r="S38" s="704"/>
      <c r="T38" s="704"/>
      <c r="U38" s="704"/>
      <c r="V38" s="704"/>
      <c r="W38" s="704"/>
      <c r="X38" s="705"/>
      <c r="Y38" s="705"/>
      <c r="Z38" s="705"/>
      <c r="AA38" s="705"/>
      <c r="AB38" s="705"/>
      <c r="AC38" s="705"/>
      <c r="AD38" s="705"/>
      <c r="AE38" s="705"/>
      <c r="AF38" s="705"/>
      <c r="AG38" s="705"/>
      <c r="AH38" s="705"/>
      <c r="AI38" s="705"/>
      <c r="AJ38" s="705"/>
      <c r="AK38" s="705"/>
      <c r="AL38" s="705"/>
      <c r="AM38" s="705"/>
      <c r="AN38" s="705"/>
      <c r="AO38" s="705"/>
      <c r="AP38" s="705"/>
      <c r="AQ38" s="705"/>
      <c r="AR38" s="705"/>
      <c r="AS38" s="705"/>
      <c r="AT38" s="705"/>
      <c r="AU38" s="705"/>
      <c r="AV38" s="705"/>
      <c r="AW38" s="705"/>
      <c r="AX38" s="705"/>
      <c r="AY38" s="705"/>
      <c r="AZ38" s="705"/>
      <c r="BA38" s="705"/>
      <c r="BB38" s="705"/>
      <c r="BC38" s="705"/>
      <c r="BD38" s="705"/>
      <c r="BE38" s="705"/>
      <c r="BF38" s="705"/>
      <c r="BG38" s="705"/>
      <c r="BH38" s="705"/>
      <c r="BI38" s="705"/>
      <c r="BJ38" s="705"/>
      <c r="BK38" s="705"/>
      <c r="BL38" s="705"/>
      <c r="BM38" s="705"/>
      <c r="BN38" s="705"/>
      <c r="BO38" s="705"/>
      <c r="BP38" s="705"/>
      <c r="BQ38" s="705"/>
      <c r="BR38" s="705"/>
      <c r="BS38" s="705"/>
      <c r="BT38" s="705"/>
      <c r="BU38" s="705"/>
      <c r="BV38" s="705"/>
      <c r="BW38" s="705"/>
      <c r="BX38" s="705"/>
      <c r="BY38" s="705"/>
      <c r="BZ38" s="705"/>
      <c r="CA38" s="705"/>
      <c r="CB38" s="705"/>
      <c r="CC38" s="705"/>
      <c r="CD38" s="705"/>
      <c r="CE38" s="705"/>
      <c r="CF38" s="705"/>
      <c r="CG38" s="705"/>
      <c r="CH38" s="705"/>
      <c r="CI38" s="705"/>
      <c r="CJ38" s="705"/>
      <c r="CK38" s="705"/>
      <c r="CL38" s="705"/>
      <c r="CM38" s="705"/>
      <c r="CN38" s="705"/>
      <c r="CO38" s="705"/>
      <c r="CP38" s="705"/>
      <c r="CQ38" s="705"/>
      <c r="CR38" s="705"/>
      <c r="CS38" s="705"/>
      <c r="CT38" s="705"/>
      <c r="CU38" s="705"/>
      <c r="CV38" s="705"/>
      <c r="CW38" s="705"/>
      <c r="CX38" s="705"/>
      <c r="CY38" s="705"/>
      <c r="CZ38" s="705"/>
      <c r="DA38" s="705"/>
      <c r="DB38" s="705"/>
      <c r="DC38" s="705"/>
      <c r="DD38" s="705"/>
      <c r="DE38" s="705"/>
      <c r="DF38" s="705"/>
      <c r="DG38" s="705"/>
      <c r="DH38" s="705"/>
      <c r="DI38" s="705"/>
      <c r="DJ38" s="705"/>
      <c r="DK38" s="705"/>
      <c r="DL38" s="705"/>
      <c r="DM38" s="705"/>
      <c r="DN38" s="705"/>
      <c r="DO38" s="705"/>
      <c r="DP38" s="705"/>
      <c r="DQ38" s="705"/>
      <c r="DR38" s="705"/>
      <c r="DS38" s="705"/>
      <c r="DT38" s="705"/>
      <c r="DU38" s="705"/>
      <c r="DV38" s="705"/>
      <c r="DW38" s="705"/>
      <c r="DX38" s="705"/>
      <c r="DY38" s="705"/>
      <c r="DZ38" s="705"/>
      <c r="EA38" s="705"/>
      <c r="EB38" s="705"/>
      <c r="EC38" s="705"/>
      <c r="ED38" s="705"/>
      <c r="EE38" s="705"/>
      <c r="EF38" s="705"/>
      <c r="EG38" s="705"/>
      <c r="EH38" s="705"/>
      <c r="EI38" s="705"/>
      <c r="EJ38" s="705"/>
      <c r="EK38" s="705"/>
      <c r="EL38" s="705"/>
      <c r="EM38" s="705"/>
      <c r="EN38" s="705"/>
      <c r="EO38" s="705"/>
      <c r="EP38" s="705"/>
      <c r="EQ38" s="705"/>
      <c r="ER38" s="705"/>
      <c r="ES38" s="705"/>
      <c r="ET38" s="705"/>
      <c r="EU38" s="705"/>
      <c r="EV38" s="705"/>
      <c r="EW38" s="705"/>
      <c r="EX38" s="705"/>
      <c r="EY38" s="705"/>
      <c r="EZ38" s="705"/>
      <c r="FA38" s="705"/>
      <c r="FB38" s="705"/>
      <c r="FC38" s="705"/>
      <c r="FD38" s="705"/>
      <c r="FE38" s="705"/>
      <c r="FF38" s="705"/>
      <c r="FG38" s="705"/>
      <c r="FH38" s="705"/>
      <c r="FI38" s="705"/>
      <c r="FJ38" s="705"/>
      <c r="FK38" s="705"/>
      <c r="FL38" s="705"/>
      <c r="FM38" s="705"/>
      <c r="FN38" s="705"/>
      <c r="FO38" s="705"/>
      <c r="FP38" s="705"/>
      <c r="FQ38" s="705"/>
      <c r="FR38" s="705"/>
      <c r="FS38" s="705"/>
      <c r="FT38" s="705"/>
      <c r="FU38" s="705"/>
      <c r="FV38" s="705"/>
      <c r="FW38" s="705"/>
      <c r="FX38" s="705"/>
      <c r="FY38" s="705"/>
      <c r="FZ38" s="705"/>
      <c r="GA38" s="705"/>
      <c r="GB38" s="705"/>
      <c r="GC38" s="705"/>
      <c r="GD38" s="705"/>
      <c r="GE38" s="705"/>
      <c r="GF38" s="705"/>
      <c r="GG38" s="705"/>
      <c r="GH38" s="705"/>
      <c r="GI38" s="705"/>
      <c r="GJ38" s="705"/>
      <c r="GK38" s="705"/>
      <c r="GL38" s="705"/>
      <c r="GM38" s="705"/>
      <c r="GN38" s="705"/>
      <c r="GO38" s="705"/>
      <c r="GP38" s="705"/>
      <c r="GQ38" s="705"/>
      <c r="GR38" s="705"/>
      <c r="GS38" s="705"/>
      <c r="GT38" s="705"/>
      <c r="GU38" s="705"/>
      <c r="GV38" s="705"/>
      <c r="GW38" s="705"/>
      <c r="GX38" s="705"/>
      <c r="GY38" s="705"/>
      <c r="GZ38" s="705"/>
      <c r="HA38" s="705"/>
      <c r="HB38" s="705"/>
      <c r="HC38" s="705"/>
      <c r="HD38" s="705"/>
      <c r="HE38" s="705"/>
      <c r="HF38" s="705"/>
      <c r="HG38" s="705"/>
      <c r="HH38" s="705"/>
      <c r="HI38" s="705"/>
      <c r="HJ38" s="705"/>
      <c r="HK38" s="705"/>
      <c r="HL38" s="705"/>
      <c r="HM38" s="705"/>
      <c r="HN38" s="705"/>
      <c r="HO38" s="705"/>
      <c r="HP38" s="705"/>
      <c r="HQ38" s="705"/>
      <c r="HR38" s="705"/>
      <c r="HS38" s="705"/>
      <c r="HT38" s="705"/>
      <c r="HU38" s="705"/>
      <c r="HV38" s="705"/>
      <c r="HW38" s="705"/>
    </row>
    <row r="39" spans="1:232">
      <c r="A39" s="733"/>
      <c r="B39" s="734"/>
      <c r="C39" s="734"/>
      <c r="D39" s="735"/>
      <c r="E39" s="736"/>
      <c r="F39" s="700"/>
      <c r="G39" s="700"/>
      <c r="H39" s="700"/>
      <c r="I39" s="700"/>
      <c r="J39" s="700"/>
      <c r="K39" s="723"/>
      <c r="L39" s="704"/>
      <c r="M39" s="724"/>
      <c r="N39" s="704"/>
      <c r="O39" s="704"/>
      <c r="P39" s="704"/>
      <c r="Q39" s="704"/>
      <c r="R39" s="704"/>
      <c r="S39" s="704"/>
      <c r="T39" s="704"/>
      <c r="U39" s="704"/>
      <c r="V39" s="704"/>
      <c r="W39" s="704"/>
      <c r="X39" s="705"/>
      <c r="Y39" s="705"/>
      <c r="Z39" s="705"/>
      <c r="AA39" s="705"/>
      <c r="AB39" s="705"/>
      <c r="AC39" s="705"/>
      <c r="AD39" s="705"/>
      <c r="AE39" s="705"/>
      <c r="AF39" s="705"/>
      <c r="AG39" s="705"/>
      <c r="AH39" s="705"/>
      <c r="AI39" s="705"/>
      <c r="AJ39" s="705"/>
      <c r="AK39" s="705"/>
      <c r="AL39" s="705"/>
      <c r="AM39" s="705"/>
      <c r="AN39" s="705"/>
      <c r="AO39" s="705"/>
      <c r="AP39" s="705"/>
      <c r="AQ39" s="705"/>
      <c r="AR39" s="705"/>
      <c r="AS39" s="705"/>
      <c r="AT39" s="705"/>
      <c r="AU39" s="705"/>
      <c r="AV39" s="705"/>
      <c r="AW39" s="705"/>
      <c r="AX39" s="705"/>
      <c r="AY39" s="705"/>
      <c r="AZ39" s="705"/>
      <c r="BA39" s="705"/>
      <c r="BB39" s="705"/>
      <c r="BC39" s="705"/>
      <c r="BD39" s="705"/>
      <c r="BE39" s="705"/>
      <c r="BF39" s="705"/>
      <c r="BG39" s="705"/>
      <c r="BH39" s="705"/>
      <c r="BI39" s="705"/>
      <c r="BJ39" s="705"/>
      <c r="BK39" s="705"/>
      <c r="BL39" s="705"/>
      <c r="BM39" s="705"/>
      <c r="BN39" s="705"/>
      <c r="BO39" s="705"/>
      <c r="BP39" s="705"/>
      <c r="BQ39" s="705"/>
      <c r="BR39" s="705"/>
      <c r="BS39" s="705"/>
      <c r="BT39" s="705"/>
      <c r="BU39" s="705"/>
      <c r="BV39" s="705"/>
      <c r="BW39" s="705"/>
      <c r="BX39" s="705"/>
      <c r="BY39" s="705"/>
      <c r="BZ39" s="705"/>
      <c r="CA39" s="705"/>
      <c r="CB39" s="705"/>
      <c r="CC39" s="705"/>
      <c r="CD39" s="705"/>
      <c r="CE39" s="705"/>
      <c r="CF39" s="705"/>
      <c r="CG39" s="705"/>
      <c r="CH39" s="705"/>
      <c r="CI39" s="705"/>
      <c r="CJ39" s="705"/>
      <c r="CK39" s="705"/>
      <c r="CL39" s="705"/>
      <c r="CM39" s="705"/>
      <c r="CN39" s="705"/>
      <c r="CO39" s="705"/>
      <c r="CP39" s="705"/>
      <c r="CQ39" s="705"/>
      <c r="CR39" s="705"/>
      <c r="CS39" s="705"/>
      <c r="CT39" s="705"/>
      <c r="CU39" s="705"/>
      <c r="CV39" s="705"/>
      <c r="CW39" s="705"/>
      <c r="CX39" s="705"/>
      <c r="CY39" s="705"/>
      <c r="CZ39" s="705"/>
      <c r="DA39" s="705"/>
      <c r="DB39" s="705"/>
      <c r="DC39" s="705"/>
      <c r="DD39" s="705"/>
      <c r="DE39" s="705"/>
      <c r="DF39" s="705"/>
      <c r="DG39" s="705"/>
      <c r="DH39" s="705"/>
      <c r="DI39" s="705"/>
      <c r="DJ39" s="705"/>
      <c r="DK39" s="705"/>
      <c r="DL39" s="705"/>
      <c r="DM39" s="705"/>
      <c r="DN39" s="705"/>
      <c r="DO39" s="705"/>
      <c r="DP39" s="705"/>
      <c r="DQ39" s="705"/>
      <c r="DR39" s="705"/>
      <c r="DS39" s="705"/>
      <c r="DT39" s="705"/>
      <c r="DU39" s="705"/>
      <c r="DV39" s="705"/>
      <c r="DW39" s="705"/>
      <c r="DX39" s="705"/>
      <c r="DY39" s="705"/>
      <c r="DZ39" s="705"/>
      <c r="EA39" s="705"/>
      <c r="EB39" s="705"/>
      <c r="EC39" s="705"/>
      <c r="ED39" s="705"/>
      <c r="EE39" s="705"/>
      <c r="EF39" s="705"/>
      <c r="EG39" s="705"/>
      <c r="EH39" s="705"/>
      <c r="EI39" s="705"/>
      <c r="EJ39" s="705"/>
      <c r="EK39" s="705"/>
      <c r="EL39" s="705"/>
      <c r="EM39" s="705"/>
      <c r="EN39" s="705"/>
      <c r="EO39" s="705"/>
      <c r="EP39" s="705"/>
      <c r="EQ39" s="705"/>
      <c r="ER39" s="705"/>
      <c r="ES39" s="705"/>
      <c r="ET39" s="705"/>
      <c r="EU39" s="705"/>
      <c r="EV39" s="705"/>
      <c r="EW39" s="705"/>
      <c r="EX39" s="705"/>
      <c r="EY39" s="705"/>
      <c r="EZ39" s="705"/>
      <c r="FA39" s="705"/>
      <c r="FB39" s="705"/>
      <c r="FC39" s="705"/>
      <c r="FD39" s="705"/>
      <c r="FE39" s="705"/>
      <c r="FF39" s="705"/>
      <c r="FG39" s="705"/>
      <c r="FH39" s="705"/>
      <c r="FI39" s="705"/>
      <c r="FJ39" s="705"/>
      <c r="FK39" s="705"/>
      <c r="FL39" s="705"/>
      <c r="FM39" s="705"/>
      <c r="FN39" s="705"/>
      <c r="FO39" s="705"/>
      <c r="FP39" s="705"/>
      <c r="FQ39" s="705"/>
      <c r="FR39" s="705"/>
      <c r="FS39" s="705"/>
      <c r="FT39" s="705"/>
      <c r="FU39" s="705"/>
      <c r="FV39" s="705"/>
      <c r="FW39" s="705"/>
      <c r="FX39" s="705"/>
      <c r="FY39" s="705"/>
      <c r="FZ39" s="705"/>
      <c r="GA39" s="705"/>
      <c r="GB39" s="705"/>
      <c r="GC39" s="705"/>
      <c r="GD39" s="705"/>
      <c r="GE39" s="705"/>
      <c r="GF39" s="705"/>
      <c r="GG39" s="705"/>
      <c r="GH39" s="705"/>
      <c r="GI39" s="705"/>
      <c r="GJ39" s="705"/>
      <c r="GK39" s="705"/>
      <c r="GL39" s="705"/>
      <c r="GM39" s="705"/>
      <c r="GN39" s="705"/>
      <c r="GO39" s="705"/>
      <c r="GP39" s="705"/>
      <c r="GQ39" s="705"/>
      <c r="GR39" s="705"/>
      <c r="GS39" s="705"/>
      <c r="GT39" s="705"/>
      <c r="GU39" s="705"/>
      <c r="GV39" s="705"/>
      <c r="GW39" s="705"/>
      <c r="GX39" s="705"/>
      <c r="GY39" s="705"/>
      <c r="GZ39" s="705"/>
      <c r="HA39" s="705"/>
      <c r="HB39" s="705"/>
      <c r="HC39" s="705"/>
      <c r="HD39" s="705"/>
      <c r="HE39" s="705"/>
      <c r="HF39" s="705"/>
      <c r="HG39" s="705"/>
      <c r="HH39" s="705"/>
      <c r="HI39" s="705"/>
      <c r="HJ39" s="705"/>
      <c r="HK39" s="705"/>
      <c r="HL39" s="705"/>
      <c r="HM39" s="705"/>
      <c r="HN39" s="705"/>
      <c r="HO39" s="705"/>
      <c r="HP39" s="705"/>
      <c r="HQ39" s="705"/>
      <c r="HR39" s="705"/>
      <c r="HS39" s="705"/>
      <c r="HT39" s="705"/>
      <c r="HU39" s="705"/>
      <c r="HV39" s="705"/>
      <c r="HW39" s="705"/>
    </row>
    <row r="40" spans="1:232" ht="15.75">
      <c r="A40" s="737" t="s">
        <v>1</v>
      </c>
      <c r="B40" s="738">
        <f>SUM(B17,B38)</f>
        <v>14834912000</v>
      </c>
      <c r="C40" s="738">
        <f>SUM(C17,C38)</f>
        <v>15725076000</v>
      </c>
      <c r="D40" s="739"/>
      <c r="E40" s="740">
        <f>(C40/B40)-1</f>
        <v>6.0004670064776944E-2</v>
      </c>
      <c r="F40" s="700"/>
      <c r="G40" s="700"/>
      <c r="H40" s="700"/>
      <c r="I40" s="700"/>
      <c r="J40" s="700"/>
      <c r="K40" s="723"/>
      <c r="L40" s="704"/>
      <c r="M40" s="704"/>
      <c r="N40" s="704"/>
      <c r="O40" s="704"/>
      <c r="P40" s="704"/>
      <c r="Q40" s="717"/>
      <c r="R40" s="704"/>
      <c r="S40" s="704"/>
      <c r="T40" s="704"/>
      <c r="U40" s="704"/>
      <c r="V40" s="704"/>
      <c r="W40" s="704"/>
      <c r="X40" s="705"/>
      <c r="Y40" s="705"/>
      <c r="Z40" s="705"/>
      <c r="AA40" s="705"/>
      <c r="AB40" s="705"/>
      <c r="AC40" s="705"/>
      <c r="AD40" s="705"/>
      <c r="AE40" s="705"/>
      <c r="AF40" s="705"/>
      <c r="AG40" s="705"/>
      <c r="AH40" s="705"/>
      <c r="AI40" s="705"/>
      <c r="AJ40" s="705"/>
      <c r="AK40" s="705"/>
      <c r="AL40" s="705"/>
      <c r="AM40" s="705"/>
      <c r="AN40" s="705"/>
      <c r="AO40" s="705"/>
      <c r="AP40" s="705"/>
      <c r="AQ40" s="705"/>
      <c r="AR40" s="705"/>
      <c r="AS40" s="705"/>
      <c r="AT40" s="705"/>
      <c r="AU40" s="705"/>
      <c r="AV40" s="705"/>
      <c r="AW40" s="705"/>
      <c r="AX40" s="705"/>
      <c r="AY40" s="705"/>
      <c r="AZ40" s="705"/>
      <c r="BA40" s="705"/>
      <c r="BB40" s="705"/>
      <c r="BC40" s="705"/>
      <c r="BD40" s="705"/>
      <c r="BE40" s="705"/>
      <c r="BF40" s="705"/>
      <c r="BG40" s="705"/>
      <c r="BH40" s="705"/>
      <c r="BI40" s="705"/>
      <c r="BJ40" s="705"/>
      <c r="BK40" s="705"/>
      <c r="BL40" s="705"/>
      <c r="BM40" s="705"/>
      <c r="BN40" s="705"/>
      <c r="BO40" s="705"/>
      <c r="BP40" s="705"/>
      <c r="BQ40" s="705"/>
      <c r="BR40" s="705"/>
      <c r="BS40" s="705"/>
      <c r="BT40" s="705"/>
      <c r="BU40" s="705"/>
      <c r="BV40" s="705"/>
      <c r="BW40" s="705"/>
      <c r="BX40" s="705"/>
      <c r="BY40" s="705"/>
      <c r="BZ40" s="705"/>
      <c r="CA40" s="705"/>
      <c r="CB40" s="705"/>
      <c r="CC40" s="705"/>
      <c r="CD40" s="705"/>
      <c r="CE40" s="705"/>
      <c r="CF40" s="705"/>
      <c r="CG40" s="705"/>
      <c r="CH40" s="705"/>
      <c r="CI40" s="705"/>
      <c r="CJ40" s="705"/>
      <c r="CK40" s="705"/>
      <c r="CL40" s="705"/>
      <c r="CM40" s="705"/>
      <c r="CN40" s="705"/>
      <c r="CO40" s="705"/>
      <c r="CP40" s="705"/>
      <c r="CQ40" s="705"/>
      <c r="CR40" s="705"/>
      <c r="CS40" s="705"/>
      <c r="CT40" s="705"/>
      <c r="CU40" s="705"/>
      <c r="CV40" s="705"/>
      <c r="CW40" s="705"/>
      <c r="CX40" s="705"/>
      <c r="CY40" s="705"/>
      <c r="CZ40" s="705"/>
      <c r="DA40" s="705"/>
      <c r="DB40" s="705"/>
      <c r="DC40" s="705"/>
      <c r="DD40" s="705"/>
      <c r="DE40" s="705"/>
      <c r="DF40" s="705"/>
      <c r="DG40" s="705"/>
      <c r="DH40" s="705"/>
      <c r="DI40" s="705"/>
      <c r="DJ40" s="705"/>
      <c r="DK40" s="705"/>
      <c r="DL40" s="705"/>
      <c r="DM40" s="705"/>
      <c r="DN40" s="705"/>
      <c r="DO40" s="705"/>
      <c r="DP40" s="705"/>
      <c r="DQ40" s="705"/>
      <c r="DR40" s="705"/>
      <c r="DS40" s="705"/>
      <c r="DT40" s="705"/>
      <c r="DU40" s="705"/>
      <c r="DV40" s="705"/>
      <c r="DW40" s="705"/>
      <c r="DX40" s="705"/>
      <c r="DY40" s="705"/>
      <c r="DZ40" s="705"/>
      <c r="EA40" s="705"/>
      <c r="EB40" s="705"/>
      <c r="EC40" s="705"/>
      <c r="ED40" s="705"/>
      <c r="EE40" s="705"/>
      <c r="EF40" s="705"/>
      <c r="EG40" s="705"/>
      <c r="EH40" s="705"/>
      <c r="EI40" s="705"/>
      <c r="EJ40" s="705"/>
      <c r="EK40" s="705"/>
      <c r="EL40" s="705"/>
      <c r="EM40" s="705"/>
      <c r="EN40" s="705"/>
      <c r="EO40" s="705"/>
      <c r="EP40" s="705"/>
      <c r="EQ40" s="705"/>
      <c r="ER40" s="705"/>
      <c r="ES40" s="705"/>
      <c r="ET40" s="705"/>
      <c r="EU40" s="705"/>
      <c r="EV40" s="705"/>
      <c r="EW40" s="705"/>
      <c r="EX40" s="705"/>
      <c r="EY40" s="705"/>
      <c r="EZ40" s="705"/>
      <c r="FA40" s="705"/>
      <c r="FB40" s="705"/>
      <c r="FC40" s="705"/>
      <c r="FD40" s="705"/>
      <c r="FE40" s="705"/>
      <c r="FF40" s="705"/>
      <c r="FG40" s="705"/>
      <c r="FH40" s="705"/>
      <c r="FI40" s="705"/>
      <c r="FJ40" s="705"/>
      <c r="FK40" s="705"/>
      <c r="FL40" s="705"/>
      <c r="FM40" s="705"/>
      <c r="FN40" s="705"/>
      <c r="FO40" s="705"/>
      <c r="FP40" s="705"/>
      <c r="FQ40" s="705"/>
      <c r="FR40" s="705"/>
      <c r="FS40" s="705"/>
      <c r="FT40" s="705"/>
      <c r="FU40" s="705"/>
      <c r="FV40" s="705"/>
      <c r="FW40" s="705"/>
      <c r="FX40" s="705"/>
      <c r="FY40" s="705"/>
      <c r="FZ40" s="705"/>
      <c r="GA40" s="705"/>
      <c r="GB40" s="705"/>
      <c r="GC40" s="705"/>
      <c r="GD40" s="705"/>
      <c r="GE40" s="705"/>
      <c r="GF40" s="705"/>
      <c r="GG40" s="705"/>
      <c r="GH40" s="705"/>
      <c r="GI40" s="705"/>
      <c r="GJ40" s="705"/>
      <c r="GK40" s="705"/>
      <c r="GL40" s="705"/>
      <c r="GM40" s="705"/>
      <c r="GN40" s="705"/>
      <c r="GO40" s="705"/>
      <c r="GP40" s="705"/>
      <c r="GQ40" s="705"/>
      <c r="GR40" s="705"/>
      <c r="GS40" s="705"/>
      <c r="GT40" s="705"/>
      <c r="GU40" s="705"/>
      <c r="GV40" s="705"/>
      <c r="GW40" s="705"/>
      <c r="GX40" s="705"/>
      <c r="GY40" s="705"/>
      <c r="GZ40" s="705"/>
      <c r="HA40" s="705"/>
      <c r="HB40" s="705"/>
      <c r="HC40" s="705"/>
      <c r="HD40" s="705"/>
      <c r="HE40" s="705"/>
      <c r="HF40" s="705"/>
      <c r="HG40" s="705"/>
      <c r="HH40" s="705"/>
      <c r="HI40" s="705"/>
      <c r="HJ40" s="705"/>
      <c r="HK40" s="705"/>
      <c r="HL40" s="705"/>
      <c r="HM40" s="705"/>
      <c r="HN40" s="705"/>
      <c r="HO40" s="705"/>
      <c r="HP40" s="705"/>
      <c r="HQ40" s="705"/>
      <c r="HR40" s="705"/>
      <c r="HS40" s="705"/>
      <c r="HT40" s="705"/>
      <c r="HU40" s="705"/>
      <c r="HV40" s="705"/>
      <c r="HW40" s="705"/>
    </row>
    <row r="41" spans="1:232" ht="15.95" customHeight="1">
      <c r="A41" s="741"/>
      <c r="B41" s="742"/>
      <c r="C41" s="742"/>
      <c r="D41" s="735"/>
      <c r="E41" s="743"/>
      <c r="F41" s="700"/>
      <c r="G41" s="700"/>
      <c r="H41" s="700"/>
      <c r="I41" s="700"/>
      <c r="J41" s="700"/>
      <c r="K41" s="703"/>
      <c r="L41" s="704"/>
      <c r="M41" s="704"/>
      <c r="N41" s="704"/>
      <c r="O41" s="704"/>
      <c r="P41" s="704"/>
      <c r="Q41" s="704"/>
      <c r="R41" s="704"/>
      <c r="S41" s="704"/>
      <c r="T41" s="704"/>
      <c r="U41" s="704"/>
      <c r="V41" s="704"/>
      <c r="W41" s="704"/>
      <c r="X41" s="705"/>
      <c r="Y41" s="705"/>
      <c r="Z41" s="705"/>
      <c r="AA41" s="705"/>
      <c r="AB41" s="705"/>
      <c r="AC41" s="705"/>
      <c r="AD41" s="705"/>
      <c r="AE41" s="705"/>
      <c r="AF41" s="705"/>
      <c r="AG41" s="705"/>
      <c r="AH41" s="705"/>
      <c r="AI41" s="705"/>
      <c r="AJ41" s="705"/>
      <c r="AK41" s="705"/>
      <c r="AL41" s="705"/>
      <c r="AM41" s="705"/>
      <c r="AN41" s="705"/>
      <c r="AO41" s="705"/>
      <c r="AP41" s="705"/>
      <c r="AQ41" s="705"/>
      <c r="AR41" s="705"/>
      <c r="AS41" s="705"/>
      <c r="AT41" s="705"/>
      <c r="AU41" s="705"/>
      <c r="AV41" s="705"/>
      <c r="AW41" s="705"/>
      <c r="AX41" s="705"/>
      <c r="AY41" s="705"/>
      <c r="AZ41" s="705"/>
      <c r="BA41" s="705"/>
      <c r="BB41" s="705"/>
      <c r="BC41" s="705"/>
      <c r="BD41" s="705"/>
      <c r="BE41" s="705"/>
      <c r="BF41" s="705"/>
      <c r="BG41" s="705"/>
      <c r="BH41" s="705"/>
      <c r="BI41" s="705"/>
      <c r="BJ41" s="705"/>
      <c r="BK41" s="705"/>
      <c r="BL41" s="705"/>
      <c r="BM41" s="705"/>
      <c r="BN41" s="705"/>
      <c r="BO41" s="705"/>
      <c r="BP41" s="705"/>
      <c r="BQ41" s="705"/>
      <c r="BR41" s="705"/>
      <c r="BS41" s="705"/>
      <c r="BT41" s="705"/>
      <c r="BU41" s="705"/>
      <c r="BV41" s="705"/>
      <c r="BW41" s="705"/>
      <c r="BX41" s="705"/>
      <c r="BY41" s="705"/>
      <c r="BZ41" s="705"/>
      <c r="CA41" s="705"/>
      <c r="CB41" s="705"/>
      <c r="CC41" s="705"/>
      <c r="CD41" s="705"/>
      <c r="CE41" s="705"/>
      <c r="CF41" s="705"/>
      <c r="CG41" s="705"/>
      <c r="CH41" s="705"/>
      <c r="CI41" s="705"/>
      <c r="CJ41" s="705"/>
      <c r="CK41" s="705"/>
      <c r="CL41" s="705"/>
      <c r="CM41" s="705"/>
      <c r="CN41" s="705"/>
      <c r="CO41" s="705"/>
      <c r="CP41" s="705"/>
      <c r="CQ41" s="705"/>
      <c r="CR41" s="705"/>
      <c r="CS41" s="705"/>
      <c r="CT41" s="705"/>
      <c r="CU41" s="705"/>
      <c r="CV41" s="705"/>
      <c r="CW41" s="705"/>
      <c r="CX41" s="705"/>
      <c r="CY41" s="705"/>
      <c r="CZ41" s="705"/>
      <c r="DA41" s="705"/>
      <c r="DB41" s="705"/>
      <c r="DC41" s="705"/>
      <c r="DD41" s="705"/>
      <c r="DE41" s="705"/>
      <c r="DF41" s="705"/>
      <c r="DG41" s="705"/>
      <c r="DH41" s="705"/>
      <c r="DI41" s="705"/>
      <c r="DJ41" s="705"/>
      <c r="DK41" s="705"/>
      <c r="DL41" s="705"/>
      <c r="DM41" s="705"/>
      <c r="DN41" s="705"/>
      <c r="DO41" s="705"/>
      <c r="DP41" s="705"/>
      <c r="DQ41" s="705"/>
      <c r="DR41" s="705"/>
      <c r="DS41" s="705"/>
      <c r="DT41" s="705"/>
      <c r="DU41" s="705"/>
      <c r="DV41" s="705"/>
      <c r="DW41" s="705"/>
      <c r="DX41" s="705"/>
      <c r="DY41" s="705"/>
      <c r="DZ41" s="705"/>
      <c r="EA41" s="705"/>
      <c r="EB41" s="705"/>
      <c r="EC41" s="705"/>
      <c r="ED41" s="705"/>
      <c r="EE41" s="705"/>
      <c r="EF41" s="705"/>
      <c r="EG41" s="705"/>
      <c r="EH41" s="705"/>
      <c r="EI41" s="705"/>
      <c r="EJ41" s="705"/>
      <c r="EK41" s="705"/>
      <c r="EL41" s="705"/>
      <c r="EM41" s="705"/>
      <c r="EN41" s="705"/>
      <c r="EO41" s="705"/>
      <c r="EP41" s="705"/>
      <c r="EQ41" s="705"/>
      <c r="ER41" s="705"/>
      <c r="ES41" s="705"/>
      <c r="ET41" s="705"/>
      <c r="EU41" s="705"/>
      <c r="EV41" s="705"/>
      <c r="EW41" s="705"/>
      <c r="EX41" s="705"/>
      <c r="EY41" s="705"/>
      <c r="EZ41" s="705"/>
      <c r="FA41" s="705"/>
      <c r="FB41" s="705"/>
      <c r="FC41" s="705"/>
      <c r="FD41" s="705"/>
      <c r="FE41" s="705"/>
      <c r="FF41" s="705"/>
      <c r="FG41" s="705"/>
      <c r="FH41" s="705"/>
      <c r="FI41" s="705"/>
      <c r="FJ41" s="705"/>
      <c r="FK41" s="705"/>
      <c r="FL41" s="705"/>
      <c r="FM41" s="705"/>
      <c r="FN41" s="705"/>
      <c r="FO41" s="705"/>
      <c r="FP41" s="705"/>
      <c r="FQ41" s="705"/>
      <c r="FR41" s="705"/>
      <c r="FS41" s="705"/>
      <c r="FT41" s="705"/>
      <c r="FU41" s="705"/>
      <c r="FV41" s="705"/>
      <c r="FW41" s="705"/>
      <c r="FX41" s="705"/>
      <c r="FY41" s="705"/>
      <c r="FZ41" s="705"/>
      <c r="GA41" s="705"/>
      <c r="GB41" s="705"/>
      <c r="GC41" s="705"/>
      <c r="GD41" s="705"/>
      <c r="GE41" s="705"/>
      <c r="GF41" s="705"/>
      <c r="GG41" s="705"/>
      <c r="GH41" s="705"/>
      <c r="GI41" s="705"/>
      <c r="GJ41" s="705"/>
      <c r="GK41" s="705"/>
      <c r="GL41" s="705"/>
      <c r="GM41" s="705"/>
      <c r="GN41" s="705"/>
      <c r="GO41" s="705"/>
      <c r="GP41" s="705"/>
      <c r="GQ41" s="705"/>
      <c r="GR41" s="705"/>
      <c r="GS41" s="705"/>
      <c r="GT41" s="705"/>
      <c r="GU41" s="705"/>
      <c r="GV41" s="705"/>
      <c r="GW41" s="705"/>
      <c r="GX41" s="705"/>
      <c r="GY41" s="705"/>
      <c r="GZ41" s="705"/>
      <c r="HA41" s="705"/>
      <c r="HB41" s="705"/>
      <c r="HC41" s="705"/>
      <c r="HD41" s="705"/>
      <c r="HE41" s="705"/>
      <c r="HF41" s="705"/>
      <c r="HG41" s="705"/>
      <c r="HH41" s="705"/>
      <c r="HI41" s="705"/>
      <c r="HJ41" s="705"/>
      <c r="HK41" s="705"/>
      <c r="HL41" s="705"/>
      <c r="HM41" s="705"/>
      <c r="HN41" s="705"/>
      <c r="HO41" s="705"/>
      <c r="HP41" s="705"/>
      <c r="HQ41" s="705"/>
      <c r="HR41" s="705"/>
      <c r="HS41" s="705"/>
      <c r="HT41" s="705"/>
      <c r="HU41" s="705"/>
      <c r="HV41" s="705"/>
      <c r="HW41" s="705"/>
    </row>
    <row r="42" spans="1:232" ht="15.6" customHeight="1">
      <c r="A42" s="744" t="s">
        <v>2</v>
      </c>
      <c r="B42" s="744"/>
      <c r="C42" s="744"/>
      <c r="D42" s="745"/>
      <c r="E42" s="746"/>
      <c r="F42" s="700"/>
      <c r="G42" s="700"/>
      <c r="H42" s="700"/>
      <c r="I42" s="700"/>
      <c r="J42" s="700"/>
      <c r="K42" s="723"/>
      <c r="L42" s="704"/>
      <c r="M42" s="704"/>
      <c r="N42" s="747"/>
      <c r="O42" s="747"/>
      <c r="P42" s="708"/>
      <c r="Q42" s="708"/>
      <c r="R42" s="708"/>
      <c r="S42" s="708"/>
      <c r="T42" s="708"/>
      <c r="U42" s="704"/>
      <c r="V42" s="704"/>
      <c r="W42" s="704"/>
      <c r="X42" s="705"/>
      <c r="Y42" s="705"/>
      <c r="Z42" s="705"/>
      <c r="AA42" s="705"/>
      <c r="AB42" s="705"/>
      <c r="AC42" s="705"/>
      <c r="AD42" s="705"/>
      <c r="AE42" s="705"/>
      <c r="AF42" s="705"/>
      <c r="AG42" s="705"/>
      <c r="AH42" s="705"/>
      <c r="AI42" s="705"/>
      <c r="AJ42" s="705"/>
      <c r="AK42" s="705"/>
      <c r="AL42" s="705"/>
      <c r="AM42" s="705"/>
      <c r="AN42" s="705"/>
      <c r="AO42" s="705"/>
      <c r="AP42" s="705"/>
      <c r="AQ42" s="705"/>
      <c r="AR42" s="705"/>
      <c r="AS42" s="705"/>
      <c r="AT42" s="705"/>
      <c r="AU42" s="705"/>
      <c r="AV42" s="705"/>
      <c r="AW42" s="705"/>
      <c r="AX42" s="705"/>
      <c r="AY42" s="705"/>
      <c r="AZ42" s="705"/>
      <c r="BA42" s="705"/>
      <c r="BB42" s="705"/>
      <c r="BC42" s="705"/>
      <c r="BD42" s="705"/>
      <c r="BE42" s="705"/>
      <c r="BF42" s="705"/>
      <c r="BG42" s="705"/>
      <c r="BH42" s="705"/>
      <c r="BI42" s="705"/>
      <c r="BJ42" s="705"/>
      <c r="BK42" s="705"/>
      <c r="BL42" s="705"/>
      <c r="BM42" s="705"/>
      <c r="BN42" s="705"/>
      <c r="BO42" s="705"/>
      <c r="BP42" s="705"/>
      <c r="BQ42" s="705"/>
      <c r="BR42" s="705"/>
      <c r="BS42" s="705"/>
      <c r="BT42" s="705"/>
      <c r="BU42" s="705"/>
      <c r="BV42" s="705"/>
      <c r="BW42" s="705"/>
      <c r="BX42" s="705"/>
      <c r="BY42" s="705"/>
      <c r="BZ42" s="705"/>
      <c r="CA42" s="705"/>
      <c r="CB42" s="705"/>
      <c r="CC42" s="705"/>
      <c r="CD42" s="705"/>
      <c r="CE42" s="705"/>
      <c r="CF42" s="705"/>
      <c r="CG42" s="705"/>
      <c r="CH42" s="705"/>
      <c r="CI42" s="705"/>
      <c r="CJ42" s="705"/>
      <c r="CK42" s="705"/>
      <c r="CL42" s="705"/>
      <c r="CM42" s="705"/>
      <c r="CN42" s="705"/>
      <c r="CO42" s="705"/>
      <c r="CP42" s="705"/>
      <c r="CQ42" s="705"/>
      <c r="CR42" s="705"/>
      <c r="CS42" s="705"/>
      <c r="CT42" s="705"/>
      <c r="CU42" s="705"/>
      <c r="CV42" s="705"/>
      <c r="CW42" s="705"/>
      <c r="CX42" s="705"/>
      <c r="CY42" s="705"/>
      <c r="CZ42" s="705"/>
      <c r="DA42" s="705"/>
      <c r="DB42" s="705"/>
      <c r="DC42" s="705"/>
      <c r="DD42" s="705"/>
      <c r="DE42" s="705"/>
      <c r="DF42" s="705"/>
      <c r="DG42" s="705"/>
      <c r="DH42" s="705"/>
      <c r="DI42" s="705"/>
      <c r="DJ42" s="705"/>
      <c r="DK42" s="705"/>
      <c r="DL42" s="705"/>
      <c r="DM42" s="705"/>
      <c r="DN42" s="705"/>
      <c r="DO42" s="705"/>
      <c r="DP42" s="705"/>
      <c r="DQ42" s="705"/>
      <c r="DR42" s="705"/>
      <c r="DS42" s="705"/>
      <c r="DT42" s="705"/>
      <c r="DU42" s="705"/>
      <c r="DV42" s="705"/>
      <c r="DW42" s="705"/>
      <c r="DX42" s="705"/>
      <c r="DY42" s="705"/>
      <c r="DZ42" s="705"/>
      <c r="EA42" s="705"/>
      <c r="EB42" s="705"/>
      <c r="EC42" s="705"/>
      <c r="ED42" s="705"/>
      <c r="EE42" s="705"/>
      <c r="EF42" s="705"/>
      <c r="EG42" s="705"/>
      <c r="EH42" s="705"/>
      <c r="EI42" s="705"/>
      <c r="EJ42" s="705"/>
      <c r="EK42" s="705"/>
      <c r="EL42" s="705"/>
      <c r="EM42" s="705"/>
      <c r="EN42" s="705"/>
      <c r="EO42" s="705"/>
      <c r="EP42" s="705"/>
      <c r="EQ42" s="705"/>
      <c r="ER42" s="705"/>
      <c r="ES42" s="705"/>
      <c r="ET42" s="705"/>
      <c r="EU42" s="705"/>
      <c r="EV42" s="705"/>
      <c r="EW42" s="705"/>
      <c r="EX42" s="705"/>
      <c r="EY42" s="705"/>
      <c r="EZ42" s="705"/>
      <c r="FA42" s="705"/>
      <c r="FB42" s="705"/>
      <c r="FC42" s="705"/>
      <c r="FD42" s="705"/>
      <c r="FE42" s="705"/>
      <c r="FF42" s="705"/>
      <c r="FG42" s="705"/>
      <c r="FH42" s="705"/>
      <c r="FI42" s="705"/>
      <c r="FJ42" s="705"/>
      <c r="FK42" s="705"/>
      <c r="FL42" s="705"/>
      <c r="FM42" s="705"/>
      <c r="FN42" s="705"/>
      <c r="FO42" s="705"/>
      <c r="FP42" s="705"/>
      <c r="FQ42" s="705"/>
      <c r="FR42" s="705"/>
      <c r="FS42" s="705"/>
      <c r="FT42" s="705"/>
      <c r="FU42" s="705"/>
      <c r="FV42" s="705"/>
      <c r="FW42" s="705"/>
      <c r="FX42" s="705"/>
      <c r="FY42" s="705"/>
      <c r="FZ42" s="705"/>
      <c r="GA42" s="705"/>
      <c r="GB42" s="705"/>
      <c r="GC42" s="705"/>
      <c r="GD42" s="705"/>
      <c r="GE42" s="705"/>
      <c r="GF42" s="705"/>
      <c r="GG42" s="705"/>
      <c r="GH42" s="705"/>
      <c r="GI42" s="705"/>
      <c r="GJ42" s="705"/>
      <c r="GK42" s="705"/>
      <c r="GL42" s="705"/>
      <c r="GM42" s="705"/>
      <c r="GN42" s="705"/>
      <c r="GO42" s="705"/>
      <c r="GP42" s="705"/>
      <c r="GQ42" s="705"/>
      <c r="GR42" s="705"/>
      <c r="GS42" s="705"/>
      <c r="GT42" s="705"/>
      <c r="GU42" s="705"/>
      <c r="GV42" s="705"/>
      <c r="GW42" s="705"/>
      <c r="GX42" s="705"/>
      <c r="GY42" s="705"/>
      <c r="GZ42" s="705"/>
      <c r="HA42" s="705"/>
      <c r="HB42" s="705"/>
      <c r="HC42" s="705"/>
      <c r="HD42" s="705"/>
      <c r="HE42" s="705"/>
      <c r="HF42" s="705"/>
      <c r="HG42" s="705"/>
      <c r="HH42" s="705"/>
      <c r="HI42" s="705"/>
      <c r="HJ42" s="705"/>
      <c r="HK42" s="705"/>
      <c r="HL42" s="705"/>
      <c r="HM42" s="705"/>
      <c r="HN42" s="705"/>
      <c r="HO42" s="705"/>
      <c r="HP42" s="705"/>
      <c r="HQ42" s="705"/>
      <c r="HR42" s="705"/>
      <c r="HS42" s="705"/>
      <c r="HT42" s="705"/>
      <c r="HU42" s="705"/>
      <c r="HV42" s="705"/>
      <c r="HW42" s="705"/>
      <c r="HX42" s="705"/>
    </row>
    <row r="43" spans="1:232" ht="14.1" customHeight="1">
      <c r="A43" s="744" t="s">
        <v>408</v>
      </c>
      <c r="B43" s="746"/>
      <c r="C43" s="746"/>
      <c r="D43" s="745"/>
      <c r="E43" s="748"/>
      <c r="F43" s="702"/>
      <c r="G43" s="702"/>
      <c r="H43" s="702"/>
      <c r="I43" s="702"/>
      <c r="J43" s="700"/>
      <c r="K43" s="703"/>
      <c r="L43" s="704"/>
      <c r="M43" s="704"/>
      <c r="N43" s="704"/>
      <c r="O43" s="747"/>
      <c r="P43" s="708"/>
      <c r="Q43" s="708"/>
      <c r="R43" s="708"/>
      <c r="S43" s="708"/>
      <c r="T43" s="708"/>
      <c r="U43" s="704"/>
      <c r="V43" s="704"/>
      <c r="W43" s="704"/>
      <c r="X43" s="705"/>
      <c r="Y43" s="705"/>
      <c r="Z43" s="705"/>
      <c r="AA43" s="705"/>
      <c r="AB43" s="705"/>
      <c r="AC43" s="705"/>
      <c r="AD43" s="705"/>
      <c r="AE43" s="705"/>
      <c r="AF43" s="705"/>
      <c r="AG43" s="705"/>
      <c r="AH43" s="705"/>
      <c r="AI43" s="705"/>
      <c r="AJ43" s="705"/>
      <c r="AK43" s="705"/>
      <c r="AL43" s="705"/>
      <c r="AM43" s="705"/>
      <c r="AN43" s="705"/>
      <c r="AO43" s="705"/>
      <c r="AP43" s="705"/>
      <c r="AQ43" s="705"/>
      <c r="AR43" s="705"/>
      <c r="AS43" s="705"/>
      <c r="AT43" s="705"/>
      <c r="AU43" s="705"/>
      <c r="AV43" s="705"/>
      <c r="AW43" s="705"/>
      <c r="AX43" s="705"/>
      <c r="AY43" s="705"/>
      <c r="AZ43" s="705"/>
      <c r="BA43" s="705"/>
      <c r="BB43" s="705"/>
      <c r="BC43" s="705"/>
      <c r="BD43" s="705"/>
      <c r="BE43" s="705"/>
      <c r="BF43" s="705"/>
      <c r="BG43" s="705"/>
      <c r="BH43" s="705"/>
      <c r="BI43" s="705"/>
      <c r="BJ43" s="705"/>
      <c r="BK43" s="705"/>
      <c r="BL43" s="705"/>
      <c r="BM43" s="705"/>
      <c r="BN43" s="705"/>
      <c r="BO43" s="705"/>
      <c r="BP43" s="705"/>
      <c r="BQ43" s="705"/>
      <c r="BR43" s="705"/>
      <c r="BS43" s="705"/>
      <c r="BT43" s="705"/>
      <c r="BU43" s="705"/>
      <c r="BV43" s="705"/>
      <c r="BW43" s="705"/>
      <c r="BX43" s="705"/>
      <c r="BY43" s="705"/>
      <c r="BZ43" s="705"/>
      <c r="CA43" s="705"/>
      <c r="CB43" s="705"/>
      <c r="CC43" s="705"/>
      <c r="CD43" s="705"/>
      <c r="CE43" s="705"/>
      <c r="CF43" s="705"/>
      <c r="CG43" s="705"/>
      <c r="CH43" s="705"/>
      <c r="CI43" s="705"/>
      <c r="CJ43" s="705"/>
      <c r="CK43" s="705"/>
      <c r="CL43" s="705"/>
      <c r="CM43" s="705"/>
      <c r="CN43" s="705"/>
      <c r="CO43" s="705"/>
      <c r="CP43" s="705"/>
      <c r="CQ43" s="705"/>
      <c r="CR43" s="705"/>
      <c r="CS43" s="705"/>
      <c r="CT43" s="705"/>
      <c r="CU43" s="705"/>
      <c r="CV43" s="705"/>
      <c r="CW43" s="705"/>
      <c r="CX43" s="705"/>
      <c r="CY43" s="705"/>
      <c r="CZ43" s="705"/>
      <c r="DA43" s="705"/>
      <c r="DB43" s="705"/>
      <c r="DC43" s="705"/>
      <c r="DD43" s="705"/>
      <c r="DE43" s="705"/>
      <c r="DF43" s="705"/>
      <c r="DG43" s="705"/>
      <c r="DH43" s="705"/>
      <c r="DI43" s="705"/>
      <c r="DJ43" s="705"/>
      <c r="DK43" s="705"/>
      <c r="DL43" s="705"/>
      <c r="DM43" s="705"/>
      <c r="DN43" s="705"/>
      <c r="DO43" s="705"/>
      <c r="DP43" s="705"/>
      <c r="DQ43" s="705"/>
      <c r="DR43" s="705"/>
      <c r="DS43" s="705"/>
      <c r="DT43" s="705"/>
      <c r="DU43" s="705"/>
      <c r="DV43" s="705"/>
      <c r="DW43" s="705"/>
      <c r="DX43" s="705"/>
      <c r="DY43" s="705"/>
      <c r="DZ43" s="705"/>
      <c r="EA43" s="705"/>
      <c r="EB43" s="705"/>
      <c r="EC43" s="705"/>
      <c r="ED43" s="705"/>
      <c r="EE43" s="705"/>
      <c r="EF43" s="705"/>
      <c r="EG43" s="705"/>
      <c r="EH43" s="705"/>
      <c r="EI43" s="705"/>
      <c r="EJ43" s="705"/>
      <c r="EK43" s="705"/>
      <c r="EL43" s="705"/>
      <c r="EM43" s="705"/>
      <c r="EN43" s="705"/>
      <c r="EO43" s="705"/>
      <c r="EP43" s="705"/>
      <c r="EQ43" s="705"/>
      <c r="ER43" s="705"/>
      <c r="ES43" s="705"/>
      <c r="ET43" s="705"/>
      <c r="EU43" s="705"/>
      <c r="EV43" s="705"/>
      <c r="EW43" s="705"/>
      <c r="EX43" s="705"/>
      <c r="EY43" s="705"/>
      <c r="EZ43" s="705"/>
      <c r="FA43" s="705"/>
      <c r="FB43" s="705"/>
      <c r="FC43" s="705"/>
      <c r="FD43" s="705"/>
      <c r="FE43" s="705"/>
      <c r="FF43" s="705"/>
      <c r="FG43" s="705"/>
      <c r="FH43" s="705"/>
      <c r="FI43" s="705"/>
      <c r="FJ43" s="705"/>
      <c r="FK43" s="705"/>
      <c r="FL43" s="705"/>
      <c r="FM43" s="705"/>
      <c r="FN43" s="705"/>
      <c r="FO43" s="705"/>
      <c r="FP43" s="705"/>
      <c r="FQ43" s="705"/>
      <c r="FR43" s="705"/>
      <c r="FS43" s="705"/>
      <c r="FT43" s="705"/>
      <c r="FU43" s="705"/>
      <c r="FV43" s="705"/>
      <c r="FW43" s="705"/>
      <c r="FX43" s="705"/>
      <c r="FY43" s="705"/>
      <c r="FZ43" s="705"/>
      <c r="GA43" s="705"/>
      <c r="GB43" s="705"/>
      <c r="GC43" s="705"/>
      <c r="GD43" s="705"/>
      <c r="GE43" s="705"/>
      <c r="GF43" s="705"/>
      <c r="GG43" s="705"/>
      <c r="GH43" s="705"/>
      <c r="GI43" s="705"/>
      <c r="GJ43" s="705"/>
      <c r="GK43" s="705"/>
      <c r="GL43" s="705"/>
      <c r="GM43" s="705"/>
      <c r="GN43" s="705"/>
      <c r="GO43" s="705"/>
      <c r="GP43" s="705"/>
      <c r="GQ43" s="705"/>
      <c r="GR43" s="705"/>
      <c r="GS43" s="705"/>
      <c r="GT43" s="705"/>
      <c r="GU43" s="705"/>
      <c r="GV43" s="705"/>
      <c r="GW43" s="705"/>
      <c r="GX43" s="705"/>
      <c r="GY43" s="705"/>
      <c r="GZ43" s="705"/>
      <c r="HA43" s="705"/>
      <c r="HB43" s="705"/>
      <c r="HC43" s="705"/>
      <c r="HD43" s="705"/>
      <c r="HE43" s="705"/>
      <c r="HF43" s="705"/>
      <c r="HG43" s="705"/>
      <c r="HH43" s="705"/>
      <c r="HI43" s="705"/>
      <c r="HJ43" s="705"/>
      <c r="HK43" s="705"/>
      <c r="HL43" s="705"/>
      <c r="HM43" s="705"/>
      <c r="HN43" s="705"/>
      <c r="HO43" s="705"/>
      <c r="HP43" s="705"/>
      <c r="HQ43" s="705"/>
      <c r="HR43" s="705"/>
      <c r="HS43" s="705"/>
      <c r="HT43" s="705"/>
      <c r="HU43" s="705"/>
      <c r="HV43" s="705"/>
      <c r="HW43" s="705"/>
      <c r="HX43" s="705"/>
    </row>
    <row r="44" spans="1:232" ht="14.1" customHeight="1">
      <c r="A44" s="744" t="s">
        <v>41</v>
      </c>
      <c r="B44" s="746"/>
      <c r="C44" s="746"/>
      <c r="D44" s="745"/>
      <c r="E44" s="748"/>
      <c r="F44" s="744"/>
      <c r="G44" s="744"/>
      <c r="H44" s="744"/>
      <c r="I44" s="744"/>
      <c r="J44" s="700"/>
      <c r="K44" s="703"/>
      <c r="L44" s="704"/>
      <c r="O44" s="717"/>
      <c r="P44" s="717"/>
      <c r="Q44" s="717"/>
      <c r="R44" s="717"/>
      <c r="S44" s="717"/>
      <c r="T44" s="717"/>
      <c r="U44" s="704"/>
      <c r="V44" s="704"/>
      <c r="W44" s="704"/>
      <c r="X44" s="705"/>
      <c r="Y44" s="705"/>
      <c r="Z44" s="705"/>
      <c r="AA44" s="705"/>
      <c r="AB44" s="705"/>
      <c r="AC44" s="705"/>
      <c r="AD44" s="705"/>
      <c r="AE44" s="705"/>
      <c r="AF44" s="705"/>
      <c r="AG44" s="705"/>
      <c r="AH44" s="705"/>
      <c r="AI44" s="705"/>
      <c r="AJ44" s="705"/>
      <c r="AK44" s="705"/>
      <c r="AL44" s="705"/>
      <c r="AM44" s="705"/>
      <c r="AN44" s="705"/>
      <c r="AO44" s="705"/>
      <c r="AP44" s="705"/>
      <c r="AQ44" s="705"/>
      <c r="AR44" s="705"/>
      <c r="AS44" s="705"/>
      <c r="AT44" s="705"/>
      <c r="AU44" s="705"/>
      <c r="AV44" s="705"/>
      <c r="AW44" s="705"/>
      <c r="AX44" s="705"/>
      <c r="AY44" s="705"/>
      <c r="AZ44" s="705"/>
      <c r="BA44" s="705"/>
      <c r="BB44" s="705"/>
      <c r="BC44" s="705"/>
      <c r="BD44" s="705"/>
      <c r="BE44" s="705"/>
      <c r="BF44" s="705"/>
      <c r="BG44" s="705"/>
      <c r="BH44" s="705"/>
      <c r="BI44" s="705"/>
      <c r="BJ44" s="705"/>
      <c r="BK44" s="705"/>
      <c r="BL44" s="705"/>
      <c r="BM44" s="705"/>
      <c r="BN44" s="705"/>
      <c r="BO44" s="705"/>
      <c r="BP44" s="705"/>
      <c r="BQ44" s="705"/>
      <c r="BR44" s="705"/>
      <c r="BS44" s="705"/>
      <c r="BT44" s="705"/>
      <c r="BU44" s="705"/>
      <c r="BV44" s="705"/>
      <c r="BW44" s="705"/>
      <c r="BX44" s="705"/>
      <c r="BY44" s="705"/>
      <c r="BZ44" s="705"/>
      <c r="CA44" s="705"/>
      <c r="CB44" s="705"/>
      <c r="CC44" s="705"/>
      <c r="CD44" s="705"/>
      <c r="CE44" s="705"/>
      <c r="CF44" s="705"/>
      <c r="CG44" s="705"/>
      <c r="CH44" s="705"/>
      <c r="CI44" s="705"/>
      <c r="CJ44" s="705"/>
      <c r="CK44" s="705"/>
      <c r="CL44" s="705"/>
      <c r="CM44" s="705"/>
      <c r="CN44" s="705"/>
      <c r="CO44" s="705"/>
      <c r="CP44" s="705"/>
      <c r="CQ44" s="705"/>
      <c r="CR44" s="705"/>
      <c r="CS44" s="705"/>
      <c r="CT44" s="705"/>
      <c r="CU44" s="705"/>
      <c r="CV44" s="705"/>
      <c r="CW44" s="705"/>
      <c r="CX44" s="705"/>
      <c r="CY44" s="705"/>
      <c r="CZ44" s="705"/>
      <c r="DA44" s="705"/>
      <c r="DB44" s="705"/>
      <c r="DC44" s="705"/>
      <c r="DD44" s="705"/>
      <c r="DE44" s="705"/>
      <c r="DF44" s="705"/>
      <c r="DG44" s="705"/>
      <c r="DH44" s="705"/>
      <c r="DI44" s="705"/>
      <c r="DJ44" s="705"/>
      <c r="DK44" s="705"/>
      <c r="DL44" s="705"/>
      <c r="DM44" s="705"/>
      <c r="DN44" s="705"/>
      <c r="DO44" s="705"/>
      <c r="DP44" s="705"/>
      <c r="DQ44" s="705"/>
      <c r="DR44" s="705"/>
      <c r="DS44" s="705"/>
      <c r="DT44" s="705"/>
      <c r="DU44" s="705"/>
      <c r="DV44" s="705"/>
      <c r="DW44" s="705"/>
      <c r="DX44" s="705"/>
      <c r="DY44" s="705"/>
      <c r="DZ44" s="705"/>
      <c r="EA44" s="705"/>
      <c r="EB44" s="705"/>
      <c r="EC44" s="705"/>
      <c r="ED44" s="705"/>
      <c r="EE44" s="705"/>
      <c r="EF44" s="705"/>
      <c r="EG44" s="705"/>
      <c r="EH44" s="705"/>
      <c r="EI44" s="705"/>
      <c r="EJ44" s="705"/>
      <c r="EK44" s="705"/>
      <c r="EL44" s="705"/>
      <c r="EM44" s="705"/>
      <c r="EN44" s="705"/>
      <c r="EO44" s="705"/>
      <c r="EP44" s="705"/>
      <c r="EQ44" s="705"/>
      <c r="ER44" s="705"/>
      <c r="ES44" s="705"/>
      <c r="ET44" s="705"/>
      <c r="EU44" s="705"/>
      <c r="EV44" s="705"/>
      <c r="EW44" s="705"/>
      <c r="EX44" s="705"/>
      <c r="EY44" s="705"/>
      <c r="EZ44" s="705"/>
      <c r="FA44" s="705"/>
      <c r="FB44" s="705"/>
      <c r="FC44" s="705"/>
      <c r="FD44" s="705"/>
      <c r="FE44" s="705"/>
      <c r="FF44" s="705"/>
      <c r="FG44" s="705"/>
      <c r="FH44" s="705"/>
      <c r="FI44" s="705"/>
      <c r="FJ44" s="705"/>
      <c r="FK44" s="705"/>
      <c r="FL44" s="705"/>
      <c r="FM44" s="705"/>
      <c r="FN44" s="705"/>
      <c r="FO44" s="705"/>
      <c r="FP44" s="705"/>
      <c r="FQ44" s="705"/>
      <c r="FR44" s="705"/>
      <c r="FS44" s="705"/>
      <c r="FT44" s="705"/>
      <c r="FU44" s="705"/>
      <c r="FV44" s="705"/>
      <c r="FW44" s="705"/>
      <c r="FX44" s="705"/>
      <c r="FY44" s="705"/>
      <c r="FZ44" s="705"/>
      <c r="GA44" s="705"/>
      <c r="GB44" s="705"/>
      <c r="GC44" s="705"/>
      <c r="GD44" s="705"/>
      <c r="GE44" s="705"/>
      <c r="GF44" s="705"/>
      <c r="GG44" s="705"/>
      <c r="GH44" s="705"/>
      <c r="GI44" s="705"/>
      <c r="GJ44" s="705"/>
      <c r="GK44" s="705"/>
      <c r="GL44" s="705"/>
      <c r="GM44" s="705"/>
      <c r="GN44" s="705"/>
      <c r="GO44" s="705"/>
      <c r="GP44" s="705"/>
      <c r="GQ44" s="705"/>
      <c r="GR44" s="705"/>
      <c r="GS44" s="705"/>
      <c r="GT44" s="705"/>
      <c r="GU44" s="705"/>
      <c r="GV44" s="705"/>
      <c r="GW44" s="705"/>
      <c r="GX44" s="705"/>
      <c r="GY44" s="705"/>
      <c r="GZ44" s="705"/>
      <c r="HA44" s="705"/>
      <c r="HB44" s="705"/>
      <c r="HC44" s="705"/>
      <c r="HD44" s="705"/>
      <c r="HE44" s="705"/>
      <c r="HF44" s="705"/>
      <c r="HG44" s="705"/>
      <c r="HH44" s="705"/>
      <c r="HI44" s="705"/>
      <c r="HJ44" s="705"/>
      <c r="HK44" s="705"/>
      <c r="HL44" s="705"/>
      <c r="HM44" s="705"/>
      <c r="HN44" s="705"/>
      <c r="HO44" s="705"/>
      <c r="HP44" s="705"/>
      <c r="HQ44" s="705"/>
      <c r="HR44" s="705"/>
      <c r="HS44" s="705"/>
      <c r="HT44" s="705"/>
      <c r="HU44" s="705"/>
      <c r="HV44" s="705"/>
      <c r="HW44" s="705"/>
      <c r="HX44" s="705"/>
    </row>
    <row r="45" spans="1:232" ht="14.1" customHeight="1">
      <c r="A45" s="744" t="s">
        <v>42</v>
      </c>
      <c r="B45" s="746"/>
      <c r="C45" s="746"/>
      <c r="D45" s="745"/>
      <c r="E45" s="748"/>
      <c r="F45" s="744"/>
      <c r="G45" s="744"/>
      <c r="H45" s="744"/>
      <c r="I45" s="744"/>
      <c r="J45" s="700"/>
      <c r="K45" s="703"/>
      <c r="L45" s="704"/>
      <c r="M45" s="704"/>
      <c r="N45" s="704"/>
      <c r="O45" s="704"/>
      <c r="P45" s="704"/>
      <c r="Q45" s="749"/>
      <c r="R45" s="704"/>
      <c r="S45" s="704"/>
      <c r="T45" s="704"/>
      <c r="U45" s="704"/>
      <c r="V45" s="704"/>
      <c r="W45" s="704"/>
      <c r="X45" s="705"/>
      <c r="Y45" s="705"/>
      <c r="Z45" s="705"/>
      <c r="AA45" s="705"/>
      <c r="AB45" s="705"/>
      <c r="AC45" s="705"/>
      <c r="AD45" s="705"/>
      <c r="AE45" s="705"/>
      <c r="AF45" s="705"/>
      <c r="AG45" s="705"/>
      <c r="AH45" s="705"/>
      <c r="AI45" s="705"/>
      <c r="AJ45" s="705"/>
      <c r="AK45" s="705"/>
      <c r="AL45" s="705"/>
      <c r="AM45" s="705"/>
      <c r="AN45" s="705"/>
      <c r="AO45" s="705"/>
      <c r="AP45" s="705"/>
      <c r="AQ45" s="705"/>
      <c r="AR45" s="705"/>
      <c r="AS45" s="705"/>
      <c r="AT45" s="705"/>
      <c r="AU45" s="705"/>
      <c r="AV45" s="705"/>
      <c r="AW45" s="705"/>
      <c r="AX45" s="705"/>
      <c r="AY45" s="705"/>
      <c r="AZ45" s="705"/>
      <c r="BA45" s="705"/>
      <c r="BB45" s="705"/>
      <c r="BC45" s="705"/>
      <c r="BD45" s="705"/>
      <c r="BE45" s="705"/>
      <c r="BF45" s="705"/>
      <c r="BG45" s="705"/>
      <c r="BH45" s="705"/>
      <c r="BI45" s="705"/>
      <c r="BJ45" s="705"/>
      <c r="BK45" s="705"/>
      <c r="BL45" s="705"/>
      <c r="BM45" s="705"/>
      <c r="BN45" s="705"/>
      <c r="BO45" s="705"/>
      <c r="BP45" s="705"/>
      <c r="BQ45" s="705"/>
      <c r="BR45" s="705"/>
      <c r="BS45" s="705"/>
      <c r="BT45" s="705"/>
      <c r="BU45" s="705"/>
      <c r="BV45" s="705"/>
      <c r="BW45" s="705"/>
      <c r="BX45" s="705"/>
      <c r="BY45" s="705"/>
      <c r="BZ45" s="705"/>
      <c r="CA45" s="705"/>
      <c r="CB45" s="705"/>
      <c r="CC45" s="705"/>
      <c r="CD45" s="705"/>
      <c r="CE45" s="705"/>
      <c r="CF45" s="705"/>
      <c r="CG45" s="705"/>
      <c r="CH45" s="705"/>
      <c r="CI45" s="705"/>
      <c r="CJ45" s="705"/>
      <c r="CK45" s="705"/>
      <c r="CL45" s="705"/>
      <c r="CM45" s="705"/>
      <c r="CN45" s="705"/>
      <c r="CO45" s="705"/>
      <c r="CP45" s="705"/>
      <c r="CQ45" s="705"/>
      <c r="CR45" s="705"/>
      <c r="CS45" s="705"/>
      <c r="CT45" s="705"/>
      <c r="CU45" s="705"/>
      <c r="CV45" s="705"/>
      <c r="CW45" s="705"/>
      <c r="CX45" s="705"/>
      <c r="CY45" s="705"/>
      <c r="CZ45" s="705"/>
      <c r="DA45" s="705"/>
      <c r="DB45" s="705"/>
      <c r="DC45" s="705"/>
      <c r="DD45" s="705"/>
      <c r="DE45" s="705"/>
      <c r="DF45" s="705"/>
      <c r="DG45" s="705"/>
      <c r="DH45" s="705"/>
      <c r="DI45" s="705"/>
      <c r="DJ45" s="705"/>
      <c r="DK45" s="705"/>
      <c r="DL45" s="705"/>
      <c r="DM45" s="705"/>
      <c r="DN45" s="705"/>
      <c r="DO45" s="705"/>
      <c r="DP45" s="705"/>
      <c r="DQ45" s="705"/>
      <c r="DR45" s="705"/>
      <c r="DS45" s="705"/>
      <c r="DT45" s="705"/>
      <c r="DU45" s="705"/>
      <c r="DV45" s="705"/>
      <c r="DW45" s="705"/>
      <c r="DX45" s="705"/>
      <c r="DY45" s="705"/>
      <c r="DZ45" s="705"/>
      <c r="EA45" s="705"/>
      <c r="EB45" s="705"/>
      <c r="EC45" s="705"/>
      <c r="ED45" s="705"/>
      <c r="EE45" s="705"/>
      <c r="EF45" s="705"/>
      <c r="EG45" s="705"/>
      <c r="EH45" s="705"/>
      <c r="EI45" s="705"/>
      <c r="EJ45" s="705"/>
      <c r="EK45" s="705"/>
      <c r="EL45" s="705"/>
      <c r="EM45" s="705"/>
      <c r="EN45" s="705"/>
      <c r="EO45" s="705"/>
      <c r="EP45" s="705"/>
      <c r="EQ45" s="705"/>
      <c r="ER45" s="705"/>
      <c r="ES45" s="705"/>
      <c r="ET45" s="705"/>
      <c r="EU45" s="705"/>
      <c r="EV45" s="705"/>
      <c r="EW45" s="705"/>
      <c r="EX45" s="705"/>
      <c r="EY45" s="705"/>
      <c r="EZ45" s="705"/>
      <c r="FA45" s="705"/>
      <c r="FB45" s="705"/>
      <c r="FC45" s="705"/>
      <c r="FD45" s="705"/>
      <c r="FE45" s="705"/>
      <c r="FF45" s="705"/>
      <c r="FG45" s="705"/>
      <c r="FH45" s="705"/>
      <c r="FI45" s="705"/>
      <c r="FJ45" s="705"/>
      <c r="FK45" s="705"/>
      <c r="FL45" s="705"/>
      <c r="FM45" s="705"/>
      <c r="FN45" s="705"/>
      <c r="FO45" s="705"/>
      <c r="FP45" s="705"/>
      <c r="FQ45" s="705"/>
      <c r="FR45" s="705"/>
      <c r="FS45" s="705"/>
      <c r="FT45" s="705"/>
      <c r="FU45" s="705"/>
      <c r="FV45" s="705"/>
      <c r="FW45" s="705"/>
      <c r="FX45" s="705"/>
      <c r="FY45" s="705"/>
      <c r="FZ45" s="705"/>
      <c r="GA45" s="705"/>
      <c r="GB45" s="705"/>
      <c r="GC45" s="705"/>
      <c r="GD45" s="705"/>
      <c r="GE45" s="705"/>
      <c r="GF45" s="705"/>
      <c r="GG45" s="705"/>
      <c r="GH45" s="705"/>
      <c r="GI45" s="705"/>
      <c r="GJ45" s="705"/>
      <c r="GK45" s="705"/>
      <c r="GL45" s="705"/>
      <c r="GM45" s="705"/>
      <c r="GN45" s="705"/>
      <c r="GO45" s="705"/>
      <c r="GP45" s="705"/>
      <c r="GQ45" s="705"/>
      <c r="GR45" s="705"/>
      <c r="GS45" s="705"/>
      <c r="GT45" s="705"/>
      <c r="GU45" s="705"/>
      <c r="GV45" s="705"/>
      <c r="GW45" s="705"/>
      <c r="GX45" s="705"/>
      <c r="GY45" s="705"/>
      <c r="GZ45" s="705"/>
      <c r="HA45" s="705"/>
      <c r="HB45" s="705"/>
      <c r="HC45" s="705"/>
      <c r="HD45" s="705"/>
      <c r="HE45" s="705"/>
      <c r="HF45" s="705"/>
      <c r="HG45" s="705"/>
      <c r="HH45" s="705"/>
      <c r="HI45" s="705"/>
      <c r="HJ45" s="705"/>
      <c r="HK45" s="705"/>
      <c r="HL45" s="705"/>
      <c r="HM45" s="705"/>
      <c r="HN45" s="705"/>
      <c r="HO45" s="705"/>
      <c r="HP45" s="705"/>
      <c r="HQ45" s="705"/>
      <c r="HR45" s="705"/>
      <c r="HS45" s="705"/>
      <c r="HT45" s="705"/>
      <c r="HU45" s="705"/>
      <c r="HV45" s="705"/>
      <c r="HW45" s="705"/>
    </row>
    <row r="46" spans="1:232" ht="14.1" customHeight="1">
      <c r="A46" s="1026" t="s">
        <v>43</v>
      </c>
      <c r="B46" s="1026"/>
      <c r="C46" s="1026"/>
      <c r="D46" s="1026"/>
      <c r="E46" s="1026"/>
      <c r="F46" s="1026"/>
      <c r="G46" s="1026"/>
      <c r="H46" s="744"/>
      <c r="I46" s="744"/>
      <c r="J46" s="700"/>
      <c r="K46" s="703"/>
      <c r="L46" s="704"/>
      <c r="M46" s="704"/>
      <c r="N46" s="750"/>
      <c r="O46" s="750"/>
      <c r="P46" s="704"/>
      <c r="Q46" s="704"/>
      <c r="R46" s="704"/>
      <c r="S46" s="704"/>
      <c r="T46" s="704"/>
      <c r="U46" s="704"/>
      <c r="V46" s="704"/>
      <c r="W46" s="704"/>
      <c r="X46" s="705"/>
      <c r="Y46" s="705"/>
      <c r="Z46" s="705"/>
      <c r="AA46" s="705"/>
      <c r="AB46" s="705"/>
      <c r="AC46" s="705"/>
      <c r="AD46" s="705"/>
      <c r="AE46" s="705"/>
      <c r="AF46" s="705"/>
      <c r="AG46" s="705"/>
      <c r="AH46" s="705"/>
      <c r="AI46" s="705"/>
      <c r="AJ46" s="705"/>
      <c r="AK46" s="705"/>
      <c r="AL46" s="705"/>
      <c r="AM46" s="705"/>
      <c r="AN46" s="705"/>
      <c r="AO46" s="705"/>
      <c r="AP46" s="705"/>
      <c r="AQ46" s="705"/>
      <c r="AR46" s="705"/>
      <c r="AS46" s="705"/>
      <c r="AT46" s="705"/>
      <c r="AU46" s="705"/>
      <c r="AV46" s="705"/>
      <c r="AW46" s="705"/>
      <c r="AX46" s="705"/>
      <c r="AY46" s="705"/>
      <c r="AZ46" s="705"/>
      <c r="BA46" s="705"/>
      <c r="BB46" s="705"/>
      <c r="BC46" s="705"/>
      <c r="BD46" s="705"/>
      <c r="BE46" s="705"/>
      <c r="BF46" s="705"/>
      <c r="BG46" s="705"/>
      <c r="BH46" s="705"/>
      <c r="BI46" s="705"/>
      <c r="BJ46" s="705"/>
      <c r="BK46" s="705"/>
      <c r="BL46" s="705"/>
      <c r="BM46" s="705"/>
      <c r="BN46" s="705"/>
      <c r="BO46" s="705"/>
      <c r="BP46" s="705"/>
      <c r="BQ46" s="705"/>
      <c r="BR46" s="705"/>
      <c r="BS46" s="705"/>
      <c r="BT46" s="705"/>
      <c r="BU46" s="705"/>
      <c r="BV46" s="705"/>
      <c r="BW46" s="705"/>
      <c r="BX46" s="705"/>
      <c r="BY46" s="705"/>
      <c r="BZ46" s="705"/>
      <c r="CA46" s="705"/>
      <c r="CB46" s="705"/>
      <c r="CC46" s="705"/>
      <c r="CD46" s="705"/>
      <c r="CE46" s="705"/>
      <c r="CF46" s="705"/>
      <c r="CG46" s="705"/>
      <c r="CH46" s="705"/>
      <c r="CI46" s="705"/>
      <c r="CJ46" s="705"/>
      <c r="CK46" s="705"/>
      <c r="CL46" s="705"/>
      <c r="CM46" s="705"/>
      <c r="CN46" s="705"/>
      <c r="CO46" s="705"/>
      <c r="CP46" s="705"/>
      <c r="CQ46" s="705"/>
      <c r="CR46" s="705"/>
      <c r="CS46" s="705"/>
      <c r="CT46" s="705"/>
      <c r="CU46" s="705"/>
      <c r="CV46" s="705"/>
      <c r="CW46" s="705"/>
      <c r="CX46" s="705"/>
      <c r="CY46" s="705"/>
      <c r="CZ46" s="705"/>
      <c r="DA46" s="705"/>
      <c r="DB46" s="705"/>
      <c r="DC46" s="705"/>
      <c r="DD46" s="705"/>
      <c r="DE46" s="705"/>
      <c r="DF46" s="705"/>
      <c r="DG46" s="705"/>
      <c r="DH46" s="705"/>
      <c r="DI46" s="705"/>
      <c r="DJ46" s="705"/>
      <c r="DK46" s="705"/>
      <c r="DL46" s="705"/>
      <c r="DM46" s="705"/>
      <c r="DN46" s="705"/>
      <c r="DO46" s="705"/>
      <c r="DP46" s="705"/>
      <c r="DQ46" s="705"/>
      <c r="DR46" s="705"/>
      <c r="DS46" s="705"/>
      <c r="DT46" s="705"/>
      <c r="DU46" s="705"/>
      <c r="DV46" s="705"/>
      <c r="DW46" s="705"/>
      <c r="DX46" s="705"/>
      <c r="DY46" s="705"/>
      <c r="DZ46" s="705"/>
      <c r="EA46" s="705"/>
      <c r="EB46" s="705"/>
      <c r="EC46" s="705"/>
      <c r="ED46" s="705"/>
      <c r="EE46" s="705"/>
      <c r="EF46" s="705"/>
      <c r="EG46" s="705"/>
      <c r="EH46" s="705"/>
      <c r="EI46" s="705"/>
      <c r="EJ46" s="705"/>
      <c r="EK46" s="705"/>
      <c r="EL46" s="705"/>
      <c r="EM46" s="705"/>
      <c r="EN46" s="705"/>
      <c r="EO46" s="705"/>
      <c r="EP46" s="705"/>
      <c r="EQ46" s="705"/>
      <c r="ER46" s="705"/>
      <c r="ES46" s="705"/>
      <c r="ET46" s="705"/>
      <c r="EU46" s="705"/>
      <c r="EV46" s="705"/>
      <c r="EW46" s="705"/>
      <c r="EX46" s="705"/>
      <c r="EY46" s="705"/>
      <c r="EZ46" s="705"/>
      <c r="FA46" s="705"/>
      <c r="FB46" s="705"/>
      <c r="FC46" s="705"/>
      <c r="FD46" s="705"/>
      <c r="FE46" s="705"/>
      <c r="FF46" s="705"/>
      <c r="FG46" s="705"/>
      <c r="FH46" s="705"/>
      <c r="FI46" s="705"/>
      <c r="FJ46" s="705"/>
      <c r="FK46" s="705"/>
      <c r="FL46" s="705"/>
      <c r="FM46" s="705"/>
      <c r="FN46" s="705"/>
      <c r="FO46" s="705"/>
      <c r="FP46" s="705"/>
      <c r="FQ46" s="705"/>
      <c r="FR46" s="705"/>
      <c r="FS46" s="705"/>
      <c r="FT46" s="705"/>
      <c r="FU46" s="705"/>
      <c r="FV46" s="705"/>
      <c r="FW46" s="705"/>
      <c r="FX46" s="705"/>
      <c r="FY46" s="705"/>
      <c r="FZ46" s="705"/>
      <c r="GA46" s="705"/>
      <c r="GB46" s="705"/>
      <c r="GC46" s="705"/>
      <c r="GD46" s="705"/>
      <c r="GE46" s="705"/>
      <c r="GF46" s="705"/>
      <c r="GG46" s="705"/>
      <c r="GH46" s="705"/>
      <c r="GI46" s="705"/>
      <c r="GJ46" s="705"/>
      <c r="GK46" s="705"/>
      <c r="GL46" s="705"/>
      <c r="GM46" s="705"/>
      <c r="GN46" s="705"/>
      <c r="GO46" s="705"/>
      <c r="GP46" s="705"/>
      <c r="GQ46" s="705"/>
      <c r="GR46" s="705"/>
      <c r="GS46" s="705"/>
      <c r="GT46" s="705"/>
      <c r="GU46" s="705"/>
      <c r="GV46" s="705"/>
      <c r="GW46" s="705"/>
      <c r="GX46" s="705"/>
      <c r="GY46" s="705"/>
      <c r="GZ46" s="705"/>
      <c r="HA46" s="705"/>
      <c r="HB46" s="705"/>
      <c r="HC46" s="705"/>
      <c r="HD46" s="705"/>
      <c r="HE46" s="705"/>
      <c r="HF46" s="705"/>
      <c r="HG46" s="705"/>
      <c r="HH46" s="705"/>
      <c r="HI46" s="705"/>
      <c r="HJ46" s="705"/>
      <c r="HK46" s="705"/>
      <c r="HL46" s="705"/>
      <c r="HM46" s="705"/>
      <c r="HN46" s="705"/>
      <c r="HO46" s="705"/>
      <c r="HP46" s="705"/>
      <c r="HQ46" s="705"/>
      <c r="HR46" s="705"/>
      <c r="HS46" s="705"/>
      <c r="HT46" s="705"/>
      <c r="HU46" s="705"/>
      <c r="HV46" s="705"/>
      <c r="HW46" s="705"/>
    </row>
    <row r="47" spans="1:232" ht="14.1" customHeight="1">
      <c r="A47" s="744" t="s">
        <v>5</v>
      </c>
      <c r="B47" s="746"/>
      <c r="C47" s="746"/>
      <c r="D47" s="745"/>
      <c r="E47" s="748"/>
      <c r="F47" s="744"/>
      <c r="G47" s="744"/>
      <c r="H47" s="744"/>
      <c r="I47" s="744"/>
      <c r="J47" s="700"/>
      <c r="K47" s="703"/>
      <c r="L47" s="704"/>
      <c r="M47" s="704"/>
      <c r="N47" s="750"/>
      <c r="O47" s="750"/>
      <c r="P47" s="704"/>
      <c r="Q47" s="704"/>
      <c r="R47" s="704"/>
      <c r="S47" s="704"/>
      <c r="T47" s="704"/>
      <c r="U47" s="704"/>
      <c r="V47" s="704"/>
      <c r="W47" s="704"/>
      <c r="X47" s="705"/>
      <c r="Y47" s="705"/>
      <c r="Z47" s="705"/>
      <c r="AA47" s="705"/>
      <c r="AB47" s="705"/>
      <c r="AC47" s="705"/>
      <c r="AD47" s="705"/>
      <c r="AE47" s="705"/>
      <c r="AF47" s="705"/>
      <c r="AG47" s="705"/>
      <c r="AH47" s="705"/>
      <c r="AI47" s="705"/>
      <c r="AJ47" s="705"/>
      <c r="AK47" s="705"/>
      <c r="AL47" s="705"/>
      <c r="AM47" s="705"/>
      <c r="AN47" s="705"/>
      <c r="AO47" s="705"/>
      <c r="AP47" s="705"/>
      <c r="AQ47" s="705"/>
      <c r="AR47" s="705"/>
      <c r="AS47" s="705"/>
      <c r="AT47" s="705"/>
      <c r="AU47" s="705"/>
      <c r="AV47" s="705"/>
      <c r="AW47" s="705"/>
      <c r="AX47" s="705"/>
      <c r="AY47" s="705"/>
      <c r="AZ47" s="705"/>
      <c r="BA47" s="705"/>
      <c r="BB47" s="705"/>
      <c r="BC47" s="705"/>
      <c r="BD47" s="705"/>
      <c r="BE47" s="705"/>
      <c r="BF47" s="705"/>
      <c r="BG47" s="705"/>
      <c r="BH47" s="705"/>
      <c r="BI47" s="705"/>
      <c r="BJ47" s="705"/>
      <c r="BK47" s="705"/>
      <c r="BL47" s="705"/>
      <c r="BM47" s="705"/>
      <c r="BN47" s="705"/>
      <c r="BO47" s="705"/>
      <c r="BP47" s="705"/>
      <c r="BQ47" s="705"/>
      <c r="BR47" s="705"/>
      <c r="BS47" s="705"/>
      <c r="BT47" s="705"/>
      <c r="BU47" s="705"/>
      <c r="BV47" s="705"/>
      <c r="BW47" s="705"/>
      <c r="BX47" s="705"/>
      <c r="BY47" s="705"/>
      <c r="BZ47" s="705"/>
      <c r="CA47" s="705"/>
      <c r="CB47" s="705"/>
      <c r="CC47" s="705"/>
      <c r="CD47" s="705"/>
      <c r="CE47" s="705"/>
      <c r="CF47" s="705"/>
      <c r="CG47" s="705"/>
      <c r="CH47" s="705"/>
      <c r="CI47" s="705"/>
      <c r="CJ47" s="705"/>
      <c r="CK47" s="705"/>
      <c r="CL47" s="705"/>
      <c r="CM47" s="705"/>
      <c r="CN47" s="705"/>
      <c r="CO47" s="705"/>
      <c r="CP47" s="705"/>
      <c r="CQ47" s="705"/>
      <c r="CR47" s="705"/>
      <c r="CS47" s="705"/>
      <c r="CT47" s="705"/>
      <c r="CU47" s="705"/>
      <c r="CV47" s="705"/>
      <c r="CW47" s="705"/>
      <c r="CX47" s="705"/>
      <c r="CY47" s="705"/>
      <c r="CZ47" s="705"/>
      <c r="DA47" s="705"/>
      <c r="DB47" s="705"/>
      <c r="DC47" s="705"/>
      <c r="DD47" s="705"/>
      <c r="DE47" s="705"/>
      <c r="DF47" s="705"/>
      <c r="DG47" s="705"/>
      <c r="DH47" s="705"/>
      <c r="DI47" s="705"/>
      <c r="DJ47" s="705"/>
      <c r="DK47" s="705"/>
      <c r="DL47" s="705"/>
      <c r="DM47" s="705"/>
      <c r="DN47" s="705"/>
      <c r="DO47" s="705"/>
      <c r="DP47" s="705"/>
      <c r="DQ47" s="705"/>
      <c r="DR47" s="705"/>
      <c r="DS47" s="705"/>
      <c r="DT47" s="705"/>
      <c r="DU47" s="705"/>
      <c r="DV47" s="705"/>
      <c r="DW47" s="705"/>
      <c r="DX47" s="705"/>
      <c r="DY47" s="705"/>
      <c r="DZ47" s="705"/>
      <c r="EA47" s="705"/>
      <c r="EB47" s="705"/>
      <c r="EC47" s="705"/>
      <c r="ED47" s="705"/>
      <c r="EE47" s="705"/>
      <c r="EF47" s="705"/>
      <c r="EG47" s="705"/>
      <c r="EH47" s="705"/>
      <c r="EI47" s="705"/>
      <c r="EJ47" s="705"/>
      <c r="EK47" s="705"/>
      <c r="EL47" s="705"/>
      <c r="EM47" s="705"/>
      <c r="EN47" s="705"/>
      <c r="EO47" s="705"/>
      <c r="EP47" s="705"/>
      <c r="EQ47" s="705"/>
      <c r="ER47" s="705"/>
      <c r="ES47" s="705"/>
      <c r="ET47" s="705"/>
      <c r="EU47" s="705"/>
      <c r="EV47" s="705"/>
      <c r="EW47" s="705"/>
      <c r="EX47" s="705"/>
      <c r="EY47" s="705"/>
      <c r="EZ47" s="705"/>
      <c r="FA47" s="705"/>
      <c r="FB47" s="705"/>
      <c r="FC47" s="705"/>
      <c r="FD47" s="705"/>
      <c r="FE47" s="705"/>
      <c r="FF47" s="705"/>
      <c r="FG47" s="705"/>
      <c r="FH47" s="705"/>
      <c r="FI47" s="705"/>
      <c r="FJ47" s="705"/>
      <c r="FK47" s="705"/>
      <c r="FL47" s="705"/>
      <c r="FM47" s="705"/>
      <c r="FN47" s="705"/>
      <c r="FO47" s="705"/>
      <c r="FP47" s="705"/>
      <c r="FQ47" s="705"/>
      <c r="FR47" s="705"/>
      <c r="FS47" s="705"/>
      <c r="FT47" s="705"/>
      <c r="FU47" s="705"/>
      <c r="FV47" s="705"/>
      <c r="FW47" s="705"/>
      <c r="FX47" s="705"/>
      <c r="FY47" s="705"/>
      <c r="FZ47" s="705"/>
      <c r="GA47" s="705"/>
      <c r="GB47" s="705"/>
      <c r="GC47" s="705"/>
      <c r="GD47" s="705"/>
      <c r="GE47" s="705"/>
      <c r="GF47" s="705"/>
      <c r="GG47" s="705"/>
      <c r="GH47" s="705"/>
      <c r="GI47" s="705"/>
      <c r="GJ47" s="705"/>
      <c r="GK47" s="705"/>
      <c r="GL47" s="705"/>
      <c r="GM47" s="705"/>
      <c r="GN47" s="705"/>
      <c r="GO47" s="705"/>
      <c r="GP47" s="705"/>
      <c r="GQ47" s="705"/>
      <c r="GR47" s="705"/>
      <c r="GS47" s="705"/>
      <c r="GT47" s="705"/>
      <c r="GU47" s="705"/>
      <c r="GV47" s="705"/>
      <c r="GW47" s="705"/>
      <c r="GX47" s="705"/>
      <c r="GY47" s="705"/>
      <c r="GZ47" s="705"/>
      <c r="HA47" s="705"/>
      <c r="HB47" s="705"/>
      <c r="HC47" s="705"/>
      <c r="HD47" s="705"/>
      <c r="HE47" s="705"/>
      <c r="HF47" s="705"/>
      <c r="HG47" s="705"/>
      <c r="HH47" s="705"/>
      <c r="HI47" s="705"/>
      <c r="HJ47" s="705"/>
      <c r="HK47" s="705"/>
      <c r="HL47" s="705"/>
      <c r="HM47" s="705"/>
      <c r="HN47" s="705"/>
      <c r="HO47" s="705"/>
      <c r="HP47" s="705"/>
      <c r="HQ47" s="705"/>
      <c r="HR47" s="705"/>
      <c r="HS47" s="705"/>
      <c r="HT47" s="705"/>
      <c r="HU47" s="705"/>
      <c r="HV47" s="705"/>
      <c r="HW47" s="705"/>
    </row>
    <row r="48" spans="1:232" ht="12" customHeight="1">
      <c r="A48" s="751"/>
      <c r="B48" s="751"/>
      <c r="C48" s="751"/>
      <c r="D48" s="751"/>
      <c r="E48" s="751"/>
      <c r="F48" s="751"/>
      <c r="G48" s="751"/>
      <c r="H48" s="744"/>
      <c r="I48" s="744"/>
      <c r="J48" s="700"/>
      <c r="K48" s="703"/>
      <c r="N48" s="750"/>
      <c r="O48" s="750"/>
      <c r="P48" s="704"/>
      <c r="Q48" s="704"/>
      <c r="R48" s="704"/>
      <c r="S48" s="704"/>
      <c r="T48" s="704"/>
      <c r="U48" s="704"/>
      <c r="V48" s="704"/>
      <c r="W48" s="704"/>
      <c r="X48" s="705"/>
      <c r="Y48" s="705"/>
      <c r="Z48" s="705"/>
      <c r="AA48" s="705"/>
      <c r="AB48" s="705"/>
      <c r="AC48" s="705"/>
      <c r="AD48" s="705"/>
      <c r="AE48" s="705"/>
      <c r="AF48" s="705"/>
      <c r="AG48" s="705"/>
      <c r="AH48" s="705"/>
      <c r="AI48" s="705"/>
      <c r="AJ48" s="705"/>
      <c r="AK48" s="705"/>
      <c r="AL48" s="705"/>
      <c r="AM48" s="705"/>
      <c r="AN48" s="705"/>
      <c r="AO48" s="705"/>
      <c r="AP48" s="705"/>
      <c r="AQ48" s="705"/>
      <c r="AR48" s="705"/>
      <c r="AS48" s="705"/>
      <c r="AT48" s="705"/>
      <c r="AU48" s="705"/>
      <c r="AV48" s="705"/>
      <c r="AW48" s="705"/>
      <c r="AX48" s="705"/>
      <c r="AY48" s="705"/>
      <c r="AZ48" s="705"/>
      <c r="BA48" s="705"/>
      <c r="BB48" s="705"/>
      <c r="BC48" s="705"/>
      <c r="BD48" s="705"/>
      <c r="BE48" s="705"/>
      <c r="BF48" s="705"/>
      <c r="BG48" s="705"/>
      <c r="BH48" s="705"/>
      <c r="BI48" s="705"/>
      <c r="BJ48" s="705"/>
      <c r="BK48" s="705"/>
      <c r="BL48" s="705"/>
      <c r="BM48" s="705"/>
      <c r="BN48" s="705"/>
      <c r="BO48" s="705"/>
      <c r="BP48" s="705"/>
      <c r="BQ48" s="705"/>
      <c r="BR48" s="705"/>
      <c r="BS48" s="705"/>
      <c r="BT48" s="705"/>
      <c r="BU48" s="705"/>
      <c r="BV48" s="705"/>
      <c r="BW48" s="705"/>
      <c r="BX48" s="705"/>
      <c r="BY48" s="705"/>
      <c r="BZ48" s="705"/>
      <c r="CA48" s="705"/>
      <c r="CB48" s="705"/>
      <c r="CC48" s="705"/>
      <c r="CD48" s="705"/>
      <c r="CE48" s="705"/>
      <c r="CF48" s="705"/>
      <c r="CG48" s="705"/>
      <c r="CH48" s="705"/>
      <c r="CI48" s="705"/>
      <c r="CJ48" s="705"/>
      <c r="CK48" s="705"/>
      <c r="CL48" s="705"/>
      <c r="CM48" s="705"/>
      <c r="CN48" s="705"/>
      <c r="CO48" s="705"/>
      <c r="CP48" s="705"/>
      <c r="CQ48" s="705"/>
      <c r="CR48" s="705"/>
      <c r="CS48" s="705"/>
      <c r="CT48" s="705"/>
      <c r="CU48" s="705"/>
      <c r="CV48" s="705"/>
      <c r="CW48" s="705"/>
      <c r="CX48" s="705"/>
      <c r="CY48" s="705"/>
      <c r="CZ48" s="705"/>
      <c r="DA48" s="705"/>
      <c r="DB48" s="705"/>
      <c r="DC48" s="705"/>
      <c r="DD48" s="705"/>
      <c r="DE48" s="705"/>
      <c r="DF48" s="705"/>
      <c r="DG48" s="705"/>
      <c r="DH48" s="705"/>
      <c r="DI48" s="705"/>
      <c r="DJ48" s="705"/>
      <c r="DK48" s="705"/>
      <c r="DL48" s="705"/>
      <c r="DM48" s="705"/>
      <c r="DN48" s="705"/>
      <c r="DO48" s="705"/>
      <c r="DP48" s="705"/>
      <c r="DQ48" s="705"/>
      <c r="DR48" s="705"/>
      <c r="DS48" s="705"/>
      <c r="DT48" s="705"/>
      <c r="DU48" s="705"/>
      <c r="DV48" s="705"/>
      <c r="DW48" s="705"/>
      <c r="DX48" s="705"/>
      <c r="DY48" s="705"/>
      <c r="DZ48" s="705"/>
      <c r="EA48" s="705"/>
      <c r="EB48" s="705"/>
      <c r="EC48" s="705"/>
      <c r="ED48" s="705"/>
      <c r="EE48" s="705"/>
      <c r="EF48" s="705"/>
      <c r="EG48" s="705"/>
      <c r="EH48" s="705"/>
      <c r="EI48" s="705"/>
      <c r="EJ48" s="705"/>
      <c r="EK48" s="705"/>
      <c r="EL48" s="705"/>
      <c r="EM48" s="705"/>
      <c r="EN48" s="705"/>
      <c r="EO48" s="705"/>
      <c r="EP48" s="705"/>
      <c r="EQ48" s="705"/>
      <c r="ER48" s="705"/>
      <c r="ES48" s="705"/>
      <c r="ET48" s="705"/>
      <c r="EU48" s="705"/>
      <c r="EV48" s="705"/>
      <c r="EW48" s="705"/>
      <c r="EX48" s="705"/>
      <c r="EY48" s="705"/>
      <c r="EZ48" s="705"/>
      <c r="FA48" s="705"/>
      <c r="FB48" s="705"/>
      <c r="FC48" s="705"/>
      <c r="FD48" s="705"/>
      <c r="FE48" s="705"/>
      <c r="FF48" s="705"/>
      <c r="FG48" s="705"/>
      <c r="FH48" s="705"/>
      <c r="FI48" s="705"/>
      <c r="FJ48" s="705"/>
      <c r="FK48" s="705"/>
      <c r="FL48" s="705"/>
      <c r="FM48" s="705"/>
      <c r="FN48" s="705"/>
      <c r="FO48" s="705"/>
      <c r="FP48" s="705"/>
      <c r="FQ48" s="705"/>
      <c r="FR48" s="705"/>
      <c r="FS48" s="705"/>
      <c r="FT48" s="705"/>
      <c r="FU48" s="705"/>
      <c r="FV48" s="705"/>
      <c r="FW48" s="705"/>
      <c r="FX48" s="705"/>
      <c r="FY48" s="705"/>
      <c r="FZ48" s="705"/>
      <c r="GA48" s="705"/>
      <c r="GB48" s="705"/>
      <c r="GC48" s="705"/>
      <c r="GD48" s="705"/>
      <c r="GE48" s="705"/>
      <c r="GF48" s="705"/>
      <c r="GG48" s="705"/>
      <c r="GH48" s="705"/>
      <c r="GI48" s="705"/>
      <c r="GJ48" s="705"/>
      <c r="GK48" s="705"/>
      <c r="GL48" s="705"/>
      <c r="GM48" s="705"/>
      <c r="GN48" s="705"/>
      <c r="GO48" s="705"/>
      <c r="GP48" s="705"/>
      <c r="GQ48" s="705"/>
      <c r="GR48" s="705"/>
      <c r="GS48" s="705"/>
      <c r="GT48" s="705"/>
      <c r="GU48" s="705"/>
      <c r="GV48" s="705"/>
      <c r="GW48" s="705"/>
      <c r="GX48" s="705"/>
      <c r="GY48" s="705"/>
      <c r="GZ48" s="705"/>
      <c r="HA48" s="705"/>
      <c r="HB48" s="705"/>
      <c r="HC48" s="705"/>
      <c r="HD48" s="705"/>
      <c r="HE48" s="705"/>
      <c r="HF48" s="705"/>
      <c r="HG48" s="705"/>
      <c r="HH48" s="705"/>
      <c r="HI48" s="705"/>
      <c r="HJ48" s="705"/>
      <c r="HK48" s="705"/>
      <c r="HL48" s="705"/>
      <c r="HM48" s="705"/>
      <c r="HN48" s="705"/>
      <c r="HO48" s="705"/>
      <c r="HP48" s="705"/>
      <c r="HQ48" s="705"/>
      <c r="HR48" s="705"/>
      <c r="HS48" s="705"/>
      <c r="HT48" s="705"/>
      <c r="HU48" s="705"/>
      <c r="HV48" s="705"/>
      <c r="HW48" s="705"/>
    </row>
    <row r="49" spans="1:231" ht="12" customHeight="1">
      <c r="A49" s="751"/>
      <c r="B49" s="751"/>
      <c r="C49" s="751"/>
      <c r="D49" s="751"/>
      <c r="E49" s="751"/>
      <c r="F49" s="751"/>
      <c r="G49" s="751"/>
      <c r="H49" s="702"/>
      <c r="I49" s="702"/>
      <c r="J49" s="700"/>
      <c r="K49" s="703"/>
      <c r="L49" s="704"/>
      <c r="M49" s="704"/>
      <c r="N49" s="750"/>
      <c r="O49" s="750"/>
      <c r="P49" s="704"/>
      <c r="Q49" s="704"/>
      <c r="R49" s="704"/>
      <c r="S49" s="704"/>
      <c r="T49" s="704"/>
      <c r="U49" s="704"/>
      <c r="V49" s="704"/>
      <c r="W49" s="704"/>
      <c r="X49" s="705"/>
      <c r="Y49" s="705"/>
      <c r="Z49" s="705"/>
      <c r="AA49" s="705"/>
      <c r="AB49" s="705"/>
      <c r="AC49" s="705"/>
      <c r="AD49" s="705"/>
      <c r="AE49" s="705"/>
      <c r="AF49" s="705"/>
      <c r="AG49" s="705"/>
      <c r="AH49" s="705"/>
      <c r="AI49" s="705"/>
      <c r="AJ49" s="705"/>
      <c r="AK49" s="705"/>
      <c r="AL49" s="705"/>
      <c r="AM49" s="705"/>
      <c r="AN49" s="705"/>
      <c r="AO49" s="705"/>
      <c r="AP49" s="705"/>
      <c r="AQ49" s="705"/>
      <c r="AR49" s="705"/>
      <c r="AS49" s="705"/>
      <c r="AT49" s="705"/>
      <c r="AU49" s="705"/>
      <c r="AV49" s="705"/>
      <c r="AW49" s="705"/>
      <c r="AX49" s="705"/>
      <c r="AY49" s="705"/>
      <c r="AZ49" s="705"/>
      <c r="BA49" s="705"/>
      <c r="BB49" s="705"/>
      <c r="BC49" s="705"/>
      <c r="BD49" s="705"/>
      <c r="BE49" s="705"/>
      <c r="BF49" s="705"/>
      <c r="BG49" s="705"/>
      <c r="BH49" s="705"/>
      <c r="BI49" s="705"/>
      <c r="BJ49" s="705"/>
      <c r="BK49" s="705"/>
      <c r="BL49" s="705"/>
      <c r="BM49" s="705"/>
      <c r="BN49" s="705"/>
      <c r="BO49" s="705"/>
      <c r="BP49" s="705"/>
      <c r="BQ49" s="705"/>
      <c r="BR49" s="705"/>
      <c r="BS49" s="705"/>
      <c r="BT49" s="705"/>
      <c r="BU49" s="705"/>
      <c r="BV49" s="705"/>
      <c r="BW49" s="705"/>
      <c r="BX49" s="705"/>
      <c r="BY49" s="705"/>
      <c r="BZ49" s="705"/>
      <c r="CA49" s="705"/>
      <c r="CB49" s="705"/>
      <c r="CC49" s="705"/>
      <c r="CD49" s="705"/>
      <c r="CE49" s="705"/>
      <c r="CF49" s="705"/>
      <c r="CG49" s="705"/>
      <c r="CH49" s="705"/>
      <c r="CI49" s="705"/>
      <c r="CJ49" s="705"/>
      <c r="CK49" s="705"/>
      <c r="CL49" s="705"/>
      <c r="CM49" s="705"/>
      <c r="CN49" s="705"/>
      <c r="CO49" s="705"/>
      <c r="CP49" s="705"/>
      <c r="CQ49" s="705"/>
      <c r="CR49" s="705"/>
      <c r="CS49" s="705"/>
      <c r="CT49" s="705"/>
      <c r="CU49" s="705"/>
      <c r="CV49" s="705"/>
      <c r="CW49" s="705"/>
      <c r="CX49" s="705"/>
      <c r="CY49" s="705"/>
      <c r="CZ49" s="705"/>
      <c r="DA49" s="705"/>
      <c r="DB49" s="705"/>
      <c r="DC49" s="705"/>
      <c r="DD49" s="705"/>
      <c r="DE49" s="705"/>
      <c r="DF49" s="705"/>
      <c r="DG49" s="705"/>
      <c r="DH49" s="705"/>
      <c r="DI49" s="705"/>
      <c r="DJ49" s="705"/>
      <c r="DK49" s="705"/>
      <c r="DL49" s="705"/>
      <c r="DM49" s="705"/>
      <c r="DN49" s="705"/>
      <c r="DO49" s="705"/>
      <c r="DP49" s="705"/>
      <c r="DQ49" s="705"/>
      <c r="DR49" s="705"/>
      <c r="DS49" s="705"/>
      <c r="DT49" s="705"/>
      <c r="DU49" s="705"/>
      <c r="DV49" s="705"/>
      <c r="DW49" s="705"/>
      <c r="DX49" s="705"/>
      <c r="DY49" s="705"/>
      <c r="DZ49" s="705"/>
      <c r="EA49" s="705"/>
      <c r="EB49" s="705"/>
      <c r="EC49" s="705"/>
      <c r="ED49" s="705"/>
      <c r="EE49" s="705"/>
      <c r="EF49" s="705"/>
      <c r="EG49" s="705"/>
      <c r="EH49" s="705"/>
      <c r="EI49" s="705"/>
      <c r="EJ49" s="705"/>
      <c r="EK49" s="705"/>
      <c r="EL49" s="705"/>
      <c r="EM49" s="705"/>
      <c r="EN49" s="705"/>
      <c r="EO49" s="705"/>
      <c r="EP49" s="705"/>
      <c r="EQ49" s="705"/>
      <c r="ER49" s="705"/>
      <c r="ES49" s="705"/>
      <c r="ET49" s="705"/>
      <c r="EU49" s="705"/>
      <c r="EV49" s="705"/>
      <c r="EW49" s="705"/>
      <c r="EX49" s="705"/>
      <c r="EY49" s="705"/>
      <c r="EZ49" s="705"/>
      <c r="FA49" s="705"/>
      <c r="FB49" s="705"/>
      <c r="FC49" s="705"/>
      <c r="FD49" s="705"/>
      <c r="FE49" s="705"/>
      <c r="FF49" s="705"/>
      <c r="FG49" s="705"/>
      <c r="FH49" s="705"/>
      <c r="FI49" s="705"/>
      <c r="FJ49" s="705"/>
      <c r="FK49" s="705"/>
      <c r="FL49" s="705"/>
      <c r="FM49" s="705"/>
      <c r="FN49" s="705"/>
      <c r="FO49" s="705"/>
      <c r="FP49" s="705"/>
      <c r="FQ49" s="705"/>
      <c r="FR49" s="705"/>
      <c r="FS49" s="705"/>
      <c r="FT49" s="705"/>
      <c r="FU49" s="705"/>
      <c r="FV49" s="705"/>
      <c r="FW49" s="705"/>
      <c r="FX49" s="705"/>
      <c r="FY49" s="705"/>
      <c r="FZ49" s="705"/>
      <c r="GA49" s="705"/>
      <c r="GB49" s="705"/>
      <c r="GC49" s="705"/>
      <c r="GD49" s="705"/>
      <c r="GE49" s="705"/>
      <c r="GF49" s="705"/>
      <c r="GG49" s="705"/>
      <c r="GH49" s="705"/>
      <c r="GI49" s="705"/>
      <c r="GJ49" s="705"/>
      <c r="GK49" s="705"/>
      <c r="GL49" s="705"/>
      <c r="GM49" s="705"/>
      <c r="GN49" s="705"/>
      <c r="GO49" s="705"/>
      <c r="GP49" s="705"/>
      <c r="GQ49" s="705"/>
      <c r="GR49" s="705"/>
      <c r="GS49" s="705"/>
      <c r="GT49" s="705"/>
      <c r="GU49" s="705"/>
      <c r="GV49" s="705"/>
      <c r="GW49" s="705"/>
      <c r="GX49" s="705"/>
      <c r="GY49" s="705"/>
      <c r="GZ49" s="705"/>
      <c r="HA49" s="705"/>
      <c r="HB49" s="705"/>
      <c r="HC49" s="705"/>
      <c r="HD49" s="705"/>
      <c r="HE49" s="705"/>
      <c r="HF49" s="705"/>
      <c r="HG49" s="705"/>
      <c r="HH49" s="705"/>
      <c r="HI49" s="705"/>
      <c r="HJ49" s="705"/>
      <c r="HK49" s="705"/>
      <c r="HL49" s="705"/>
      <c r="HM49" s="705"/>
      <c r="HN49" s="705"/>
      <c r="HO49" s="705"/>
      <c r="HP49" s="705"/>
      <c r="HQ49" s="705"/>
      <c r="HR49" s="705"/>
      <c r="HS49" s="705"/>
      <c r="HT49" s="705"/>
      <c r="HU49" s="705"/>
      <c r="HV49" s="705"/>
      <c r="HW49" s="705"/>
    </row>
    <row r="50" spans="1:231" ht="12" customHeight="1">
      <c r="A50" s="751"/>
      <c r="B50" s="751"/>
      <c r="C50" s="751"/>
      <c r="D50" s="751"/>
      <c r="E50" s="751"/>
      <c r="F50" s="751"/>
      <c r="G50" s="751"/>
      <c r="H50" s="702"/>
      <c r="I50" s="702"/>
      <c r="J50" s="700"/>
      <c r="K50" s="703"/>
      <c r="P50" s="704"/>
      <c r="Q50" s="704"/>
      <c r="R50" s="704"/>
      <c r="S50" s="704"/>
      <c r="T50" s="704"/>
      <c r="U50" s="704"/>
      <c r="V50" s="704"/>
      <c r="W50" s="704"/>
      <c r="X50" s="705"/>
      <c r="Y50" s="705"/>
      <c r="Z50" s="705"/>
      <c r="AA50" s="705"/>
      <c r="AB50" s="705"/>
      <c r="AC50" s="705"/>
      <c r="AD50" s="705"/>
      <c r="AE50" s="705"/>
      <c r="AF50" s="705"/>
      <c r="AG50" s="705"/>
      <c r="AH50" s="705"/>
      <c r="AI50" s="705"/>
      <c r="AJ50" s="705"/>
      <c r="AK50" s="705"/>
      <c r="AL50" s="705"/>
      <c r="AM50" s="705"/>
      <c r="AN50" s="705"/>
      <c r="AO50" s="705"/>
      <c r="AP50" s="705"/>
      <c r="AQ50" s="705"/>
      <c r="AR50" s="705"/>
      <c r="AS50" s="705"/>
      <c r="AT50" s="705"/>
      <c r="AU50" s="705"/>
      <c r="AV50" s="705"/>
      <c r="AW50" s="705"/>
      <c r="AX50" s="705"/>
      <c r="AY50" s="705"/>
      <c r="AZ50" s="705"/>
      <c r="BA50" s="705"/>
      <c r="BB50" s="705"/>
      <c r="BC50" s="705"/>
      <c r="BD50" s="705"/>
      <c r="BE50" s="705"/>
      <c r="BF50" s="705"/>
      <c r="BG50" s="705"/>
      <c r="BH50" s="705"/>
      <c r="BI50" s="705"/>
      <c r="BJ50" s="705"/>
      <c r="BK50" s="705"/>
      <c r="BL50" s="705"/>
      <c r="BM50" s="705"/>
      <c r="BN50" s="705"/>
      <c r="BO50" s="705"/>
      <c r="BP50" s="705"/>
      <c r="BQ50" s="705"/>
      <c r="BR50" s="705"/>
      <c r="BS50" s="705"/>
      <c r="BT50" s="705"/>
      <c r="BU50" s="705"/>
      <c r="BV50" s="705"/>
      <c r="BW50" s="705"/>
      <c r="BX50" s="705"/>
      <c r="BY50" s="705"/>
      <c r="BZ50" s="705"/>
      <c r="CA50" s="705"/>
      <c r="CB50" s="705"/>
      <c r="CC50" s="705"/>
      <c r="CD50" s="705"/>
      <c r="CE50" s="705"/>
      <c r="CF50" s="705"/>
      <c r="CG50" s="705"/>
      <c r="CH50" s="705"/>
      <c r="CI50" s="705"/>
      <c r="CJ50" s="705"/>
      <c r="CK50" s="705"/>
      <c r="CL50" s="705"/>
      <c r="CM50" s="705"/>
      <c r="CN50" s="705"/>
      <c r="CO50" s="705"/>
      <c r="CP50" s="705"/>
      <c r="CQ50" s="705"/>
      <c r="CR50" s="705"/>
      <c r="CS50" s="705"/>
      <c r="CT50" s="705"/>
      <c r="CU50" s="705"/>
      <c r="CV50" s="705"/>
      <c r="CW50" s="705"/>
      <c r="CX50" s="705"/>
      <c r="CY50" s="705"/>
      <c r="CZ50" s="705"/>
      <c r="DA50" s="705"/>
      <c r="DB50" s="705"/>
      <c r="DC50" s="705"/>
      <c r="DD50" s="705"/>
      <c r="DE50" s="705"/>
      <c r="DF50" s="705"/>
      <c r="DG50" s="705"/>
      <c r="DH50" s="705"/>
      <c r="DI50" s="705"/>
      <c r="DJ50" s="705"/>
      <c r="DK50" s="705"/>
      <c r="DL50" s="705"/>
      <c r="DM50" s="705"/>
      <c r="DN50" s="705"/>
      <c r="DO50" s="705"/>
      <c r="DP50" s="705"/>
      <c r="DQ50" s="705"/>
      <c r="DR50" s="705"/>
      <c r="DS50" s="705"/>
      <c r="DT50" s="705"/>
      <c r="DU50" s="705"/>
      <c r="DV50" s="705"/>
      <c r="DW50" s="705"/>
      <c r="DX50" s="705"/>
      <c r="DY50" s="705"/>
      <c r="DZ50" s="705"/>
      <c r="EA50" s="705"/>
      <c r="EB50" s="705"/>
      <c r="EC50" s="705"/>
      <c r="ED50" s="705"/>
      <c r="EE50" s="705"/>
      <c r="EF50" s="705"/>
      <c r="EG50" s="705"/>
      <c r="EH50" s="705"/>
      <c r="EI50" s="705"/>
      <c r="EJ50" s="705"/>
      <c r="EK50" s="705"/>
      <c r="EL50" s="705"/>
      <c r="EM50" s="705"/>
      <c r="EN50" s="705"/>
      <c r="EO50" s="705"/>
      <c r="EP50" s="705"/>
      <c r="EQ50" s="705"/>
      <c r="ER50" s="705"/>
      <c r="ES50" s="705"/>
      <c r="ET50" s="705"/>
      <c r="EU50" s="705"/>
      <c r="EV50" s="705"/>
      <c r="EW50" s="705"/>
      <c r="EX50" s="705"/>
      <c r="EY50" s="705"/>
      <c r="EZ50" s="705"/>
      <c r="FA50" s="705"/>
      <c r="FB50" s="705"/>
      <c r="FC50" s="705"/>
      <c r="FD50" s="705"/>
      <c r="FE50" s="705"/>
      <c r="FF50" s="705"/>
      <c r="FG50" s="705"/>
      <c r="FH50" s="705"/>
      <c r="FI50" s="705"/>
      <c r="FJ50" s="705"/>
      <c r="FK50" s="705"/>
      <c r="FL50" s="705"/>
      <c r="FM50" s="705"/>
      <c r="FN50" s="705"/>
      <c r="FO50" s="705"/>
      <c r="FP50" s="705"/>
      <c r="FQ50" s="705"/>
      <c r="FR50" s="705"/>
      <c r="FS50" s="705"/>
      <c r="FT50" s="705"/>
      <c r="FU50" s="705"/>
      <c r="FV50" s="705"/>
      <c r="FW50" s="705"/>
      <c r="FX50" s="705"/>
      <c r="FY50" s="705"/>
      <c r="FZ50" s="705"/>
      <c r="GA50" s="705"/>
      <c r="GB50" s="705"/>
      <c r="GC50" s="705"/>
      <c r="GD50" s="705"/>
      <c r="GE50" s="705"/>
      <c r="GF50" s="705"/>
      <c r="GG50" s="705"/>
      <c r="GH50" s="705"/>
      <c r="GI50" s="705"/>
      <c r="GJ50" s="705"/>
      <c r="GK50" s="705"/>
      <c r="GL50" s="705"/>
      <c r="GM50" s="705"/>
      <c r="GN50" s="705"/>
      <c r="GO50" s="705"/>
      <c r="GP50" s="705"/>
      <c r="GQ50" s="705"/>
      <c r="GR50" s="705"/>
      <c r="GS50" s="705"/>
      <c r="GT50" s="705"/>
      <c r="GU50" s="705"/>
      <c r="GV50" s="705"/>
      <c r="GW50" s="705"/>
      <c r="GX50" s="705"/>
      <c r="GY50" s="705"/>
      <c r="GZ50" s="705"/>
      <c r="HA50" s="705"/>
      <c r="HB50" s="705"/>
      <c r="HC50" s="705"/>
      <c r="HD50" s="705"/>
      <c r="HE50" s="705"/>
      <c r="HF50" s="705"/>
      <c r="HG50" s="705"/>
      <c r="HH50" s="705"/>
      <c r="HI50" s="705"/>
      <c r="HJ50" s="705"/>
      <c r="HK50" s="705"/>
      <c r="HL50" s="705"/>
      <c r="HM50" s="705"/>
      <c r="HN50" s="705"/>
      <c r="HO50" s="705"/>
      <c r="HP50" s="705"/>
      <c r="HQ50" s="705"/>
      <c r="HR50" s="705"/>
      <c r="HS50" s="705"/>
      <c r="HT50" s="705"/>
      <c r="HU50" s="705"/>
      <c r="HV50" s="705"/>
      <c r="HW50" s="705"/>
    </row>
    <row r="51" spans="1:231" ht="12" customHeight="1">
      <c r="B51" s="732"/>
      <c r="C51" s="732"/>
      <c r="E51" s="753"/>
      <c r="F51" s="751"/>
      <c r="G51" s="751"/>
      <c r="H51" s="702"/>
      <c r="I51" s="702"/>
      <c r="J51" s="700"/>
      <c r="K51" s="703"/>
      <c r="P51" s="704"/>
      <c r="Q51" s="704"/>
      <c r="R51" s="704"/>
      <c r="S51" s="704"/>
      <c r="T51" s="704"/>
      <c r="U51" s="704"/>
      <c r="V51" s="704"/>
      <c r="W51" s="704"/>
      <c r="X51" s="705"/>
      <c r="Y51" s="705"/>
      <c r="Z51" s="705"/>
      <c r="AA51" s="705"/>
      <c r="AB51" s="705"/>
      <c r="AC51" s="705"/>
      <c r="AD51" s="705"/>
      <c r="AE51" s="705"/>
      <c r="AF51" s="705"/>
      <c r="AG51" s="705"/>
      <c r="AH51" s="705"/>
      <c r="AI51" s="705"/>
      <c r="AJ51" s="705"/>
      <c r="AK51" s="705"/>
      <c r="AL51" s="705"/>
      <c r="AM51" s="705"/>
      <c r="AN51" s="705"/>
      <c r="AO51" s="705"/>
      <c r="AP51" s="705"/>
      <c r="AQ51" s="705"/>
      <c r="AR51" s="705"/>
      <c r="AS51" s="705"/>
      <c r="AT51" s="705"/>
      <c r="AU51" s="705"/>
      <c r="AV51" s="705"/>
      <c r="AW51" s="705"/>
      <c r="AX51" s="705"/>
      <c r="AY51" s="705"/>
      <c r="AZ51" s="705"/>
      <c r="BA51" s="705"/>
      <c r="BB51" s="705"/>
      <c r="BC51" s="705"/>
      <c r="BD51" s="705"/>
      <c r="BE51" s="705"/>
      <c r="BF51" s="705"/>
      <c r="BG51" s="705"/>
      <c r="BH51" s="705"/>
      <c r="BI51" s="705"/>
      <c r="BJ51" s="705"/>
      <c r="BK51" s="705"/>
      <c r="BL51" s="705"/>
      <c r="BM51" s="705"/>
      <c r="BN51" s="705"/>
      <c r="BO51" s="705"/>
      <c r="BP51" s="705"/>
      <c r="BQ51" s="705"/>
      <c r="BR51" s="705"/>
      <c r="BS51" s="705"/>
      <c r="BT51" s="705"/>
      <c r="BU51" s="705"/>
      <c r="BV51" s="705"/>
      <c r="BW51" s="705"/>
      <c r="BX51" s="705"/>
      <c r="BY51" s="705"/>
      <c r="BZ51" s="705"/>
      <c r="CA51" s="705"/>
      <c r="CB51" s="705"/>
      <c r="CC51" s="705"/>
      <c r="CD51" s="705"/>
      <c r="CE51" s="705"/>
      <c r="CF51" s="705"/>
      <c r="CG51" s="705"/>
      <c r="CH51" s="705"/>
      <c r="CI51" s="705"/>
      <c r="CJ51" s="705"/>
      <c r="CK51" s="705"/>
      <c r="CL51" s="705"/>
      <c r="CM51" s="705"/>
      <c r="CN51" s="705"/>
      <c r="CO51" s="705"/>
      <c r="CP51" s="705"/>
      <c r="CQ51" s="705"/>
      <c r="CR51" s="705"/>
      <c r="CS51" s="705"/>
      <c r="CT51" s="705"/>
      <c r="CU51" s="705"/>
      <c r="CV51" s="705"/>
      <c r="CW51" s="705"/>
      <c r="CX51" s="705"/>
      <c r="CY51" s="705"/>
      <c r="CZ51" s="705"/>
      <c r="DA51" s="705"/>
      <c r="DB51" s="705"/>
      <c r="DC51" s="705"/>
      <c r="DD51" s="705"/>
      <c r="DE51" s="705"/>
      <c r="DF51" s="705"/>
      <c r="DG51" s="705"/>
      <c r="DH51" s="705"/>
      <c r="DI51" s="705"/>
      <c r="DJ51" s="705"/>
      <c r="DK51" s="705"/>
      <c r="DL51" s="705"/>
      <c r="DM51" s="705"/>
      <c r="DN51" s="705"/>
      <c r="DO51" s="705"/>
      <c r="DP51" s="705"/>
      <c r="DQ51" s="705"/>
      <c r="DR51" s="705"/>
      <c r="DS51" s="705"/>
      <c r="DT51" s="705"/>
      <c r="DU51" s="705"/>
      <c r="DV51" s="705"/>
      <c r="DW51" s="705"/>
      <c r="DX51" s="705"/>
      <c r="DY51" s="705"/>
      <c r="DZ51" s="705"/>
      <c r="EA51" s="705"/>
      <c r="EB51" s="705"/>
      <c r="EC51" s="705"/>
      <c r="ED51" s="705"/>
      <c r="EE51" s="705"/>
      <c r="EF51" s="705"/>
      <c r="EG51" s="705"/>
      <c r="EH51" s="705"/>
      <c r="EI51" s="705"/>
      <c r="EJ51" s="705"/>
      <c r="EK51" s="705"/>
      <c r="EL51" s="705"/>
      <c r="EM51" s="705"/>
      <c r="EN51" s="705"/>
      <c r="EO51" s="705"/>
      <c r="EP51" s="705"/>
      <c r="EQ51" s="705"/>
      <c r="ER51" s="705"/>
      <c r="ES51" s="705"/>
      <c r="ET51" s="705"/>
      <c r="EU51" s="705"/>
      <c r="EV51" s="705"/>
      <c r="EW51" s="705"/>
      <c r="EX51" s="705"/>
      <c r="EY51" s="705"/>
      <c r="EZ51" s="705"/>
      <c r="FA51" s="705"/>
      <c r="FB51" s="705"/>
      <c r="FC51" s="705"/>
      <c r="FD51" s="705"/>
      <c r="FE51" s="705"/>
      <c r="FF51" s="705"/>
      <c r="FG51" s="705"/>
      <c r="FH51" s="705"/>
      <c r="FI51" s="705"/>
      <c r="FJ51" s="705"/>
      <c r="FK51" s="705"/>
      <c r="FL51" s="705"/>
      <c r="FM51" s="705"/>
      <c r="FN51" s="705"/>
      <c r="FO51" s="705"/>
      <c r="FP51" s="705"/>
      <c r="FQ51" s="705"/>
      <c r="FR51" s="705"/>
      <c r="FS51" s="705"/>
      <c r="FT51" s="705"/>
      <c r="FU51" s="705"/>
      <c r="FV51" s="705"/>
      <c r="FW51" s="705"/>
      <c r="FX51" s="705"/>
      <c r="FY51" s="705"/>
      <c r="FZ51" s="705"/>
      <c r="GA51" s="705"/>
      <c r="GB51" s="705"/>
      <c r="GC51" s="705"/>
      <c r="GD51" s="705"/>
      <c r="GE51" s="705"/>
      <c r="GF51" s="705"/>
      <c r="GG51" s="705"/>
      <c r="GH51" s="705"/>
      <c r="GI51" s="705"/>
      <c r="GJ51" s="705"/>
      <c r="GK51" s="705"/>
      <c r="GL51" s="705"/>
      <c r="GM51" s="705"/>
      <c r="GN51" s="705"/>
      <c r="GO51" s="705"/>
      <c r="GP51" s="705"/>
      <c r="GQ51" s="705"/>
      <c r="GR51" s="705"/>
      <c r="GS51" s="705"/>
      <c r="GT51" s="705"/>
      <c r="GU51" s="705"/>
      <c r="GV51" s="705"/>
      <c r="GW51" s="705"/>
      <c r="GX51" s="705"/>
      <c r="GY51" s="705"/>
      <c r="GZ51" s="705"/>
      <c r="HA51" s="705"/>
      <c r="HB51" s="705"/>
      <c r="HC51" s="705"/>
      <c r="HD51" s="705"/>
      <c r="HE51" s="705"/>
      <c r="HF51" s="705"/>
      <c r="HG51" s="705"/>
      <c r="HH51" s="705"/>
      <c r="HI51" s="705"/>
      <c r="HJ51" s="705"/>
      <c r="HK51" s="705"/>
      <c r="HL51" s="705"/>
      <c r="HM51" s="705"/>
      <c r="HN51" s="705"/>
      <c r="HO51" s="705"/>
      <c r="HP51" s="705"/>
      <c r="HQ51" s="705"/>
      <c r="HR51" s="705"/>
      <c r="HS51" s="705"/>
      <c r="HT51" s="705"/>
      <c r="HU51" s="705"/>
      <c r="HV51" s="705"/>
      <c r="HW51" s="705"/>
    </row>
    <row r="52" spans="1:231" ht="14.1" customHeight="1">
      <c r="B52" s="732"/>
      <c r="C52" s="396"/>
      <c r="E52" s="753"/>
      <c r="F52" s="754"/>
      <c r="G52" s="754"/>
      <c r="H52" s="754"/>
      <c r="I52" s="754"/>
      <c r="J52" s="754"/>
      <c r="K52" s="724"/>
      <c r="P52" s="704"/>
      <c r="Q52" s="704"/>
      <c r="R52" s="704"/>
      <c r="S52" s="704"/>
      <c r="T52" s="704"/>
      <c r="U52" s="704"/>
      <c r="V52" s="704"/>
      <c r="W52" s="704"/>
      <c r="X52" s="705"/>
      <c r="Y52" s="705"/>
      <c r="Z52" s="705"/>
      <c r="AA52" s="705"/>
      <c r="AB52" s="705"/>
      <c r="AC52" s="705"/>
      <c r="AD52" s="705"/>
      <c r="AE52" s="705"/>
      <c r="AF52" s="705"/>
      <c r="AG52" s="705"/>
      <c r="AH52" s="705"/>
      <c r="AI52" s="705"/>
      <c r="AJ52" s="705"/>
      <c r="AK52" s="705"/>
      <c r="AL52" s="705"/>
      <c r="AM52" s="705"/>
      <c r="AN52" s="705"/>
      <c r="AO52" s="705"/>
      <c r="AP52" s="705"/>
      <c r="AQ52" s="705"/>
      <c r="AR52" s="705"/>
      <c r="AS52" s="705"/>
      <c r="AT52" s="705"/>
      <c r="AU52" s="705"/>
      <c r="AV52" s="705"/>
      <c r="AW52" s="705"/>
      <c r="AX52" s="705"/>
      <c r="AY52" s="705"/>
      <c r="AZ52" s="705"/>
      <c r="BA52" s="705"/>
      <c r="BB52" s="705"/>
      <c r="BC52" s="705"/>
      <c r="BD52" s="705"/>
      <c r="BE52" s="705"/>
      <c r="BF52" s="705"/>
      <c r="BG52" s="705"/>
      <c r="BH52" s="705"/>
      <c r="BI52" s="705"/>
      <c r="BJ52" s="705"/>
      <c r="BK52" s="705"/>
      <c r="BL52" s="705"/>
      <c r="BM52" s="705"/>
      <c r="BN52" s="705"/>
      <c r="BO52" s="705"/>
      <c r="BP52" s="705"/>
      <c r="BQ52" s="705"/>
      <c r="BR52" s="705"/>
      <c r="BS52" s="705"/>
      <c r="BT52" s="705"/>
      <c r="BU52" s="705"/>
      <c r="BV52" s="705"/>
      <c r="BW52" s="705"/>
      <c r="BX52" s="705"/>
      <c r="BY52" s="705"/>
      <c r="BZ52" s="705"/>
      <c r="CA52" s="705"/>
      <c r="CB52" s="705"/>
      <c r="CC52" s="705"/>
      <c r="CD52" s="705"/>
      <c r="CE52" s="705"/>
      <c r="CF52" s="705"/>
      <c r="CG52" s="705"/>
      <c r="CH52" s="705"/>
      <c r="CI52" s="705"/>
      <c r="CJ52" s="705"/>
      <c r="CK52" s="705"/>
      <c r="CL52" s="705"/>
      <c r="CM52" s="705"/>
      <c r="CN52" s="705"/>
      <c r="CO52" s="705"/>
      <c r="CP52" s="705"/>
      <c r="CQ52" s="705"/>
      <c r="CR52" s="705"/>
      <c r="CS52" s="705"/>
      <c r="CT52" s="705"/>
      <c r="CU52" s="705"/>
      <c r="CV52" s="705"/>
      <c r="CW52" s="705"/>
      <c r="CX52" s="705"/>
      <c r="CY52" s="705"/>
      <c r="CZ52" s="705"/>
      <c r="DA52" s="705"/>
      <c r="DB52" s="705"/>
      <c r="DC52" s="705"/>
      <c r="DD52" s="705"/>
      <c r="DE52" s="705"/>
      <c r="DF52" s="705"/>
      <c r="DG52" s="705"/>
      <c r="DH52" s="705"/>
      <c r="DI52" s="705"/>
      <c r="DJ52" s="705"/>
      <c r="DK52" s="705"/>
      <c r="DL52" s="705"/>
      <c r="DM52" s="705"/>
      <c r="DN52" s="705"/>
      <c r="DO52" s="705"/>
      <c r="DP52" s="705"/>
      <c r="DQ52" s="705"/>
      <c r="DR52" s="705"/>
      <c r="DS52" s="705"/>
      <c r="DT52" s="705"/>
      <c r="DU52" s="705"/>
      <c r="DV52" s="705"/>
      <c r="DW52" s="705"/>
      <c r="DX52" s="705"/>
      <c r="DY52" s="705"/>
      <c r="DZ52" s="705"/>
      <c r="EA52" s="705"/>
      <c r="EB52" s="705"/>
      <c r="EC52" s="705"/>
      <c r="ED52" s="705"/>
      <c r="EE52" s="705"/>
      <c r="EF52" s="705"/>
      <c r="EG52" s="705"/>
      <c r="EH52" s="705"/>
      <c r="EI52" s="705"/>
      <c r="EJ52" s="705"/>
      <c r="EK52" s="705"/>
      <c r="EL52" s="705"/>
      <c r="EM52" s="705"/>
      <c r="EN52" s="705"/>
      <c r="EO52" s="705"/>
      <c r="EP52" s="705"/>
      <c r="EQ52" s="705"/>
      <c r="ER52" s="705"/>
      <c r="ES52" s="705"/>
      <c r="ET52" s="705"/>
      <c r="EU52" s="705"/>
      <c r="EV52" s="705"/>
      <c r="EW52" s="705"/>
      <c r="EX52" s="705"/>
      <c r="EY52" s="705"/>
      <c r="EZ52" s="705"/>
      <c r="FA52" s="705"/>
      <c r="FB52" s="705"/>
      <c r="FC52" s="705"/>
      <c r="FD52" s="705"/>
      <c r="FE52" s="705"/>
      <c r="FF52" s="705"/>
      <c r="FG52" s="705"/>
      <c r="FH52" s="705"/>
      <c r="FI52" s="705"/>
      <c r="FJ52" s="705"/>
      <c r="FK52" s="705"/>
      <c r="FL52" s="705"/>
      <c r="FM52" s="705"/>
      <c r="FN52" s="705"/>
      <c r="FO52" s="705"/>
      <c r="FP52" s="705"/>
      <c r="FQ52" s="705"/>
      <c r="FR52" s="705"/>
      <c r="FS52" s="705"/>
      <c r="FT52" s="705"/>
      <c r="FU52" s="705"/>
      <c r="FV52" s="705"/>
      <c r="FW52" s="705"/>
      <c r="FX52" s="705"/>
      <c r="FY52" s="705"/>
      <c r="FZ52" s="705"/>
      <c r="GA52" s="705"/>
      <c r="GB52" s="705"/>
      <c r="GC52" s="705"/>
      <c r="GD52" s="705"/>
      <c r="GE52" s="705"/>
      <c r="GF52" s="705"/>
      <c r="GG52" s="705"/>
      <c r="GH52" s="705"/>
      <c r="GI52" s="705"/>
      <c r="GJ52" s="705"/>
      <c r="GK52" s="705"/>
      <c r="GL52" s="705"/>
      <c r="GM52" s="705"/>
      <c r="GN52" s="705"/>
      <c r="GO52" s="705"/>
      <c r="GP52" s="705"/>
      <c r="GQ52" s="705"/>
      <c r="GR52" s="705"/>
      <c r="GS52" s="705"/>
      <c r="GT52" s="705"/>
      <c r="GU52" s="705"/>
      <c r="GV52" s="705"/>
      <c r="GW52" s="705"/>
      <c r="GX52" s="705"/>
      <c r="GY52" s="705"/>
      <c r="GZ52" s="705"/>
      <c r="HA52" s="705"/>
      <c r="HB52" s="705"/>
      <c r="HC52" s="705"/>
      <c r="HD52" s="705"/>
      <c r="HE52" s="705"/>
      <c r="HF52" s="705"/>
      <c r="HG52" s="705"/>
      <c r="HH52" s="705"/>
      <c r="HI52" s="705"/>
      <c r="HJ52" s="705"/>
      <c r="HK52" s="705"/>
      <c r="HL52" s="705"/>
      <c r="HM52" s="705"/>
      <c r="HN52" s="705"/>
      <c r="HO52" s="705"/>
      <c r="HP52" s="705"/>
      <c r="HQ52" s="705"/>
      <c r="HR52" s="705"/>
      <c r="HS52" s="705"/>
      <c r="HT52" s="705"/>
      <c r="HU52" s="705"/>
      <c r="HV52" s="705"/>
      <c r="HW52" s="705"/>
    </row>
    <row r="53" spans="1:231" ht="14.1" customHeight="1">
      <c r="A53" s="705"/>
      <c r="B53" s="732"/>
      <c r="C53" s="732"/>
      <c r="E53" s="753"/>
      <c r="F53" s="705"/>
      <c r="G53" s="705"/>
      <c r="H53" s="705"/>
      <c r="I53" s="705"/>
      <c r="K53" s="724"/>
      <c r="P53" s="704"/>
      <c r="Q53" s="704"/>
      <c r="R53" s="704"/>
      <c r="S53" s="704"/>
      <c r="T53" s="704"/>
      <c r="U53" s="704"/>
      <c r="V53" s="704"/>
      <c r="W53" s="704"/>
      <c r="X53" s="705"/>
      <c r="Y53" s="705"/>
      <c r="Z53" s="705"/>
      <c r="AA53" s="705"/>
      <c r="AB53" s="705"/>
      <c r="AC53" s="705"/>
      <c r="AD53" s="705"/>
      <c r="AE53" s="705"/>
      <c r="AF53" s="705"/>
      <c r="AG53" s="705"/>
      <c r="AH53" s="705"/>
      <c r="AI53" s="705"/>
      <c r="AJ53" s="705"/>
      <c r="AK53" s="705"/>
      <c r="AL53" s="705"/>
      <c r="AM53" s="705"/>
      <c r="AN53" s="705"/>
      <c r="AO53" s="705"/>
      <c r="AP53" s="705"/>
      <c r="AQ53" s="705"/>
      <c r="AR53" s="705"/>
      <c r="AS53" s="705"/>
      <c r="AT53" s="705"/>
      <c r="AU53" s="705"/>
      <c r="AV53" s="705"/>
      <c r="AW53" s="705"/>
      <c r="AX53" s="705"/>
      <c r="AY53" s="705"/>
      <c r="AZ53" s="705"/>
      <c r="BA53" s="705"/>
      <c r="BB53" s="705"/>
      <c r="BC53" s="705"/>
      <c r="BD53" s="705"/>
      <c r="BE53" s="705"/>
      <c r="BF53" s="705"/>
      <c r="BG53" s="705"/>
      <c r="BH53" s="705"/>
      <c r="BI53" s="705"/>
      <c r="BJ53" s="705"/>
      <c r="BK53" s="705"/>
      <c r="BL53" s="705"/>
      <c r="BM53" s="705"/>
      <c r="BN53" s="705"/>
      <c r="BO53" s="705"/>
      <c r="BP53" s="705"/>
      <c r="BQ53" s="705"/>
      <c r="BR53" s="705"/>
      <c r="BS53" s="705"/>
      <c r="BT53" s="705"/>
      <c r="BU53" s="705"/>
      <c r="BV53" s="705"/>
      <c r="BW53" s="705"/>
      <c r="BX53" s="705"/>
      <c r="BY53" s="705"/>
      <c r="BZ53" s="705"/>
      <c r="CA53" s="705"/>
      <c r="CB53" s="705"/>
      <c r="CC53" s="705"/>
      <c r="CD53" s="705"/>
      <c r="CE53" s="705"/>
      <c r="CF53" s="705"/>
      <c r="CG53" s="705"/>
      <c r="CH53" s="705"/>
      <c r="CI53" s="705"/>
      <c r="CJ53" s="705"/>
      <c r="CK53" s="705"/>
      <c r="CL53" s="705"/>
      <c r="CM53" s="705"/>
      <c r="CN53" s="705"/>
      <c r="CO53" s="705"/>
      <c r="CP53" s="705"/>
      <c r="CQ53" s="705"/>
      <c r="CR53" s="705"/>
      <c r="CS53" s="705"/>
      <c r="CT53" s="705"/>
      <c r="CU53" s="705"/>
      <c r="CV53" s="705"/>
      <c r="CW53" s="705"/>
      <c r="CX53" s="705"/>
      <c r="CY53" s="705"/>
      <c r="CZ53" s="705"/>
      <c r="DA53" s="705"/>
      <c r="DB53" s="705"/>
      <c r="DC53" s="705"/>
      <c r="DD53" s="705"/>
      <c r="DE53" s="705"/>
      <c r="DF53" s="705"/>
      <c r="DG53" s="705"/>
      <c r="DH53" s="705"/>
      <c r="DI53" s="705"/>
      <c r="DJ53" s="705"/>
      <c r="DK53" s="705"/>
      <c r="DL53" s="705"/>
      <c r="DM53" s="705"/>
      <c r="DN53" s="705"/>
      <c r="DO53" s="705"/>
      <c r="DP53" s="705"/>
      <c r="DQ53" s="705"/>
      <c r="DR53" s="705"/>
      <c r="DS53" s="705"/>
      <c r="DT53" s="705"/>
      <c r="DU53" s="705"/>
      <c r="DV53" s="705"/>
      <c r="DW53" s="705"/>
      <c r="DX53" s="705"/>
      <c r="DY53" s="705"/>
      <c r="DZ53" s="705"/>
      <c r="EA53" s="705"/>
      <c r="EB53" s="705"/>
      <c r="EC53" s="705"/>
      <c r="ED53" s="705"/>
      <c r="EE53" s="705"/>
      <c r="EF53" s="705"/>
      <c r="EG53" s="705"/>
      <c r="EH53" s="705"/>
      <c r="EI53" s="705"/>
      <c r="EJ53" s="705"/>
      <c r="EK53" s="705"/>
      <c r="EL53" s="705"/>
      <c r="EM53" s="705"/>
      <c r="EN53" s="705"/>
      <c r="EO53" s="705"/>
      <c r="EP53" s="705"/>
      <c r="EQ53" s="705"/>
      <c r="ER53" s="705"/>
      <c r="ES53" s="705"/>
      <c r="ET53" s="705"/>
      <c r="EU53" s="705"/>
      <c r="EV53" s="705"/>
      <c r="EW53" s="705"/>
      <c r="EX53" s="705"/>
      <c r="EY53" s="705"/>
      <c r="EZ53" s="705"/>
      <c r="FA53" s="705"/>
      <c r="FB53" s="705"/>
      <c r="FC53" s="705"/>
      <c r="FD53" s="705"/>
      <c r="FE53" s="705"/>
      <c r="FF53" s="705"/>
      <c r="FG53" s="705"/>
      <c r="FH53" s="705"/>
      <c r="FI53" s="705"/>
      <c r="FJ53" s="705"/>
      <c r="FK53" s="705"/>
      <c r="FL53" s="705"/>
      <c r="FM53" s="705"/>
      <c r="FN53" s="705"/>
      <c r="FO53" s="705"/>
      <c r="FP53" s="705"/>
      <c r="FQ53" s="705"/>
      <c r="FR53" s="705"/>
      <c r="FS53" s="705"/>
      <c r="FT53" s="705"/>
      <c r="FU53" s="705"/>
      <c r="FV53" s="705"/>
      <c r="FW53" s="705"/>
      <c r="FX53" s="705"/>
      <c r="FY53" s="705"/>
      <c r="FZ53" s="705"/>
      <c r="GA53" s="705"/>
      <c r="GB53" s="705"/>
      <c r="GC53" s="705"/>
      <c r="GD53" s="705"/>
      <c r="GE53" s="705"/>
      <c r="GF53" s="705"/>
      <c r="GG53" s="705"/>
      <c r="GH53" s="705"/>
      <c r="GI53" s="705"/>
      <c r="GJ53" s="705"/>
      <c r="GK53" s="705"/>
      <c r="GL53" s="705"/>
      <c r="GM53" s="705"/>
      <c r="GN53" s="705"/>
      <c r="GO53" s="705"/>
      <c r="GP53" s="705"/>
      <c r="GQ53" s="705"/>
      <c r="GR53" s="705"/>
      <c r="GS53" s="705"/>
      <c r="GT53" s="705"/>
      <c r="GU53" s="705"/>
      <c r="GV53" s="705"/>
      <c r="GW53" s="705"/>
      <c r="GX53" s="705"/>
      <c r="GY53" s="705"/>
      <c r="GZ53" s="705"/>
      <c r="HA53" s="705"/>
      <c r="HB53" s="705"/>
      <c r="HC53" s="705"/>
      <c r="HD53" s="705"/>
      <c r="HE53" s="705"/>
      <c r="HF53" s="705"/>
      <c r="HG53" s="705"/>
      <c r="HH53" s="705"/>
      <c r="HI53" s="705"/>
      <c r="HJ53" s="705"/>
      <c r="HK53" s="705"/>
      <c r="HL53" s="705"/>
      <c r="HM53" s="705"/>
      <c r="HN53" s="705"/>
      <c r="HO53" s="705"/>
      <c r="HP53" s="705"/>
      <c r="HQ53" s="705"/>
      <c r="HR53" s="705"/>
      <c r="HS53" s="705"/>
      <c r="HT53" s="705"/>
      <c r="HU53" s="705"/>
      <c r="HV53" s="705"/>
      <c r="HW53" s="705"/>
    </row>
    <row r="54" spans="1:231" ht="14.1" customHeight="1">
      <c r="A54" s="705"/>
      <c r="B54" s="732"/>
      <c r="C54" s="732"/>
      <c r="E54" s="753"/>
      <c r="F54" s="705"/>
      <c r="G54" s="705"/>
      <c r="H54" s="705"/>
      <c r="I54" s="705"/>
      <c r="K54" s="724"/>
      <c r="P54" s="704"/>
      <c r="Q54" s="704"/>
      <c r="R54" s="704"/>
      <c r="S54" s="704"/>
      <c r="T54" s="704"/>
      <c r="U54" s="704"/>
      <c r="V54" s="704"/>
      <c r="W54" s="704"/>
      <c r="X54" s="705"/>
      <c r="Y54" s="705"/>
      <c r="Z54" s="705"/>
      <c r="AA54" s="705"/>
      <c r="AB54" s="705"/>
      <c r="AC54" s="705"/>
      <c r="AD54" s="705"/>
      <c r="AE54" s="705"/>
      <c r="AF54" s="705"/>
      <c r="AG54" s="705"/>
      <c r="AH54" s="705"/>
      <c r="AI54" s="705"/>
      <c r="AJ54" s="705"/>
      <c r="AK54" s="705"/>
      <c r="AL54" s="705"/>
      <c r="AM54" s="705"/>
      <c r="AN54" s="705"/>
      <c r="AO54" s="705"/>
      <c r="AP54" s="705"/>
      <c r="AQ54" s="705"/>
      <c r="AR54" s="705"/>
      <c r="AS54" s="705"/>
      <c r="AT54" s="705"/>
      <c r="AU54" s="705"/>
      <c r="AV54" s="705"/>
      <c r="AW54" s="705"/>
      <c r="AX54" s="705"/>
      <c r="AY54" s="705"/>
      <c r="AZ54" s="705"/>
      <c r="BA54" s="705"/>
      <c r="BB54" s="705"/>
      <c r="BC54" s="705"/>
      <c r="BD54" s="705"/>
      <c r="BE54" s="705"/>
      <c r="BF54" s="705"/>
      <c r="BG54" s="705"/>
      <c r="BH54" s="705"/>
      <c r="BI54" s="705"/>
      <c r="BJ54" s="705"/>
      <c r="BK54" s="705"/>
      <c r="BL54" s="705"/>
      <c r="BM54" s="705"/>
      <c r="BN54" s="705"/>
      <c r="BO54" s="705"/>
      <c r="BP54" s="705"/>
      <c r="BQ54" s="705"/>
      <c r="BR54" s="705"/>
      <c r="BS54" s="705"/>
      <c r="BT54" s="705"/>
      <c r="BU54" s="705"/>
      <c r="BV54" s="705"/>
      <c r="BW54" s="705"/>
      <c r="BX54" s="705"/>
      <c r="BY54" s="705"/>
      <c r="BZ54" s="705"/>
      <c r="CA54" s="705"/>
      <c r="CB54" s="705"/>
      <c r="CC54" s="705"/>
      <c r="CD54" s="705"/>
      <c r="CE54" s="705"/>
      <c r="CF54" s="705"/>
      <c r="CG54" s="705"/>
      <c r="CH54" s="705"/>
      <c r="CI54" s="705"/>
      <c r="CJ54" s="705"/>
      <c r="CK54" s="705"/>
      <c r="CL54" s="705"/>
      <c r="CM54" s="705"/>
      <c r="CN54" s="705"/>
      <c r="CO54" s="705"/>
      <c r="CP54" s="705"/>
      <c r="CQ54" s="705"/>
      <c r="CR54" s="705"/>
      <c r="CS54" s="705"/>
      <c r="CT54" s="705"/>
      <c r="CU54" s="705"/>
      <c r="CV54" s="705"/>
      <c r="CW54" s="705"/>
      <c r="CX54" s="705"/>
      <c r="CY54" s="705"/>
      <c r="CZ54" s="705"/>
      <c r="DA54" s="705"/>
      <c r="DB54" s="705"/>
      <c r="DC54" s="705"/>
      <c r="DD54" s="705"/>
      <c r="DE54" s="705"/>
      <c r="DF54" s="705"/>
      <c r="DG54" s="705"/>
      <c r="DH54" s="705"/>
      <c r="DI54" s="705"/>
      <c r="DJ54" s="705"/>
      <c r="DK54" s="705"/>
      <c r="DL54" s="705"/>
      <c r="DM54" s="705"/>
      <c r="DN54" s="705"/>
      <c r="DO54" s="705"/>
      <c r="DP54" s="705"/>
      <c r="DQ54" s="705"/>
      <c r="DR54" s="705"/>
      <c r="DS54" s="705"/>
      <c r="DT54" s="705"/>
      <c r="DU54" s="705"/>
      <c r="DV54" s="705"/>
      <c r="DW54" s="705"/>
      <c r="DX54" s="705"/>
      <c r="DY54" s="705"/>
      <c r="DZ54" s="705"/>
      <c r="EA54" s="705"/>
      <c r="EB54" s="705"/>
      <c r="EC54" s="705"/>
      <c r="ED54" s="705"/>
      <c r="EE54" s="705"/>
      <c r="EF54" s="705"/>
      <c r="EG54" s="705"/>
      <c r="EH54" s="705"/>
      <c r="EI54" s="705"/>
      <c r="EJ54" s="705"/>
      <c r="EK54" s="705"/>
      <c r="EL54" s="705"/>
      <c r="EM54" s="705"/>
      <c r="EN54" s="705"/>
      <c r="EO54" s="705"/>
      <c r="EP54" s="705"/>
      <c r="EQ54" s="705"/>
      <c r="ER54" s="705"/>
      <c r="ES54" s="705"/>
      <c r="ET54" s="705"/>
      <c r="EU54" s="705"/>
      <c r="EV54" s="705"/>
      <c r="EW54" s="705"/>
      <c r="EX54" s="705"/>
      <c r="EY54" s="705"/>
      <c r="EZ54" s="705"/>
      <c r="FA54" s="705"/>
      <c r="FB54" s="705"/>
      <c r="FC54" s="705"/>
      <c r="FD54" s="705"/>
      <c r="FE54" s="705"/>
      <c r="FF54" s="705"/>
      <c r="FG54" s="705"/>
      <c r="FH54" s="705"/>
      <c r="FI54" s="705"/>
      <c r="FJ54" s="705"/>
      <c r="FK54" s="705"/>
      <c r="FL54" s="705"/>
      <c r="FM54" s="705"/>
      <c r="FN54" s="705"/>
      <c r="FO54" s="705"/>
      <c r="FP54" s="705"/>
      <c r="FQ54" s="705"/>
      <c r="FR54" s="705"/>
      <c r="FS54" s="705"/>
      <c r="FT54" s="705"/>
      <c r="FU54" s="705"/>
      <c r="FV54" s="705"/>
      <c r="FW54" s="705"/>
      <c r="FX54" s="705"/>
      <c r="FY54" s="705"/>
      <c r="FZ54" s="705"/>
      <c r="GA54" s="705"/>
      <c r="GB54" s="705"/>
      <c r="GC54" s="705"/>
      <c r="GD54" s="705"/>
      <c r="GE54" s="705"/>
      <c r="GF54" s="705"/>
      <c r="GG54" s="705"/>
      <c r="GH54" s="705"/>
      <c r="GI54" s="705"/>
      <c r="GJ54" s="705"/>
      <c r="GK54" s="705"/>
      <c r="GL54" s="705"/>
      <c r="GM54" s="705"/>
      <c r="GN54" s="705"/>
      <c r="GO54" s="705"/>
      <c r="GP54" s="705"/>
      <c r="GQ54" s="705"/>
      <c r="GR54" s="705"/>
      <c r="GS54" s="705"/>
      <c r="GT54" s="705"/>
      <c r="GU54" s="705"/>
      <c r="GV54" s="705"/>
      <c r="GW54" s="705"/>
      <c r="GX54" s="705"/>
      <c r="GY54" s="705"/>
      <c r="GZ54" s="705"/>
      <c r="HA54" s="705"/>
      <c r="HB54" s="705"/>
      <c r="HC54" s="705"/>
      <c r="HD54" s="705"/>
      <c r="HE54" s="705"/>
      <c r="HF54" s="705"/>
      <c r="HG54" s="705"/>
      <c r="HH54" s="705"/>
      <c r="HI54" s="705"/>
      <c r="HJ54" s="705"/>
      <c r="HK54" s="705"/>
      <c r="HL54" s="705"/>
      <c r="HM54" s="705"/>
      <c r="HN54" s="705"/>
      <c r="HO54" s="705"/>
      <c r="HP54" s="705"/>
      <c r="HQ54" s="705"/>
      <c r="HR54" s="705"/>
      <c r="HS54" s="705"/>
      <c r="HT54" s="705"/>
      <c r="HU54" s="705"/>
      <c r="HV54" s="705"/>
      <c r="HW54" s="705"/>
    </row>
    <row r="55" spans="1:231" ht="14.1" customHeight="1">
      <c r="A55" s="705"/>
      <c r="B55" s="732"/>
      <c r="C55" s="732"/>
      <c r="E55" s="753"/>
      <c r="F55" s="705"/>
      <c r="G55" s="705"/>
      <c r="H55" s="705"/>
      <c r="I55" s="705"/>
      <c r="K55" s="724"/>
      <c r="L55" s="704"/>
      <c r="M55" s="704"/>
      <c r="N55" s="704"/>
      <c r="O55" s="704"/>
      <c r="P55" s="704"/>
      <c r="Q55" s="704"/>
      <c r="R55" s="704"/>
      <c r="S55" s="704"/>
      <c r="T55" s="704"/>
      <c r="U55" s="704"/>
      <c r="V55" s="704"/>
      <c r="W55" s="704"/>
      <c r="X55" s="705"/>
      <c r="Y55" s="705"/>
      <c r="Z55" s="705"/>
      <c r="AA55" s="705"/>
      <c r="AB55" s="705"/>
      <c r="AC55" s="705"/>
      <c r="AD55" s="705"/>
      <c r="AE55" s="705"/>
      <c r="AF55" s="705"/>
      <c r="AG55" s="705"/>
      <c r="AH55" s="705"/>
      <c r="AI55" s="705"/>
      <c r="AJ55" s="705"/>
      <c r="AK55" s="705"/>
      <c r="AL55" s="705"/>
      <c r="AM55" s="705"/>
      <c r="AN55" s="705"/>
      <c r="AO55" s="705"/>
      <c r="AP55" s="705"/>
      <c r="AQ55" s="705"/>
      <c r="AR55" s="705"/>
      <c r="AS55" s="705"/>
      <c r="AT55" s="705"/>
      <c r="AU55" s="705"/>
      <c r="AV55" s="705"/>
      <c r="AW55" s="705"/>
      <c r="AX55" s="705"/>
      <c r="AY55" s="705"/>
      <c r="AZ55" s="705"/>
      <c r="BA55" s="705"/>
      <c r="BB55" s="705"/>
      <c r="BC55" s="705"/>
      <c r="BD55" s="705"/>
      <c r="BE55" s="705"/>
      <c r="BF55" s="705"/>
      <c r="BG55" s="705"/>
      <c r="BH55" s="705"/>
      <c r="BI55" s="705"/>
      <c r="BJ55" s="705"/>
      <c r="BK55" s="705"/>
      <c r="BL55" s="705"/>
      <c r="BM55" s="705"/>
      <c r="BN55" s="705"/>
      <c r="BO55" s="705"/>
      <c r="BP55" s="705"/>
      <c r="BQ55" s="705"/>
      <c r="BR55" s="705"/>
      <c r="BS55" s="705"/>
      <c r="BT55" s="705"/>
      <c r="BU55" s="705"/>
      <c r="BV55" s="705"/>
      <c r="BW55" s="705"/>
      <c r="BX55" s="705"/>
      <c r="BY55" s="705"/>
      <c r="BZ55" s="705"/>
      <c r="CA55" s="705"/>
      <c r="CB55" s="705"/>
      <c r="CC55" s="705"/>
      <c r="CD55" s="705"/>
      <c r="CE55" s="705"/>
      <c r="CF55" s="705"/>
      <c r="CG55" s="705"/>
      <c r="CH55" s="705"/>
      <c r="CI55" s="705"/>
      <c r="CJ55" s="705"/>
      <c r="CK55" s="705"/>
      <c r="CL55" s="705"/>
      <c r="CM55" s="705"/>
      <c r="CN55" s="705"/>
      <c r="CO55" s="705"/>
      <c r="CP55" s="705"/>
      <c r="CQ55" s="705"/>
      <c r="CR55" s="705"/>
      <c r="CS55" s="705"/>
      <c r="CT55" s="705"/>
      <c r="CU55" s="705"/>
      <c r="CV55" s="705"/>
      <c r="CW55" s="705"/>
      <c r="CX55" s="705"/>
      <c r="CY55" s="705"/>
      <c r="CZ55" s="705"/>
      <c r="DA55" s="705"/>
      <c r="DB55" s="705"/>
      <c r="DC55" s="705"/>
      <c r="DD55" s="705"/>
      <c r="DE55" s="705"/>
      <c r="DF55" s="705"/>
      <c r="DG55" s="705"/>
      <c r="DH55" s="705"/>
      <c r="DI55" s="705"/>
      <c r="DJ55" s="705"/>
      <c r="DK55" s="705"/>
      <c r="DL55" s="705"/>
      <c r="DM55" s="705"/>
      <c r="DN55" s="705"/>
      <c r="DO55" s="705"/>
      <c r="DP55" s="705"/>
      <c r="DQ55" s="705"/>
      <c r="DR55" s="705"/>
      <c r="DS55" s="705"/>
      <c r="DT55" s="705"/>
      <c r="DU55" s="705"/>
      <c r="DV55" s="705"/>
      <c r="DW55" s="705"/>
      <c r="DX55" s="705"/>
      <c r="DY55" s="705"/>
      <c r="DZ55" s="705"/>
      <c r="EA55" s="705"/>
      <c r="EB55" s="705"/>
      <c r="EC55" s="705"/>
      <c r="ED55" s="705"/>
      <c r="EE55" s="705"/>
      <c r="EF55" s="705"/>
      <c r="EG55" s="705"/>
      <c r="EH55" s="705"/>
      <c r="EI55" s="705"/>
      <c r="EJ55" s="705"/>
      <c r="EK55" s="705"/>
      <c r="EL55" s="705"/>
      <c r="EM55" s="705"/>
      <c r="EN55" s="705"/>
      <c r="EO55" s="705"/>
      <c r="EP55" s="705"/>
      <c r="EQ55" s="705"/>
      <c r="ER55" s="705"/>
      <c r="ES55" s="705"/>
      <c r="ET55" s="705"/>
      <c r="EU55" s="705"/>
      <c r="EV55" s="705"/>
      <c r="EW55" s="705"/>
      <c r="EX55" s="705"/>
      <c r="EY55" s="705"/>
      <c r="EZ55" s="705"/>
      <c r="FA55" s="705"/>
      <c r="FB55" s="705"/>
      <c r="FC55" s="705"/>
      <c r="FD55" s="705"/>
      <c r="FE55" s="705"/>
      <c r="FF55" s="705"/>
      <c r="FG55" s="705"/>
      <c r="FH55" s="705"/>
      <c r="FI55" s="705"/>
      <c r="FJ55" s="705"/>
      <c r="FK55" s="705"/>
      <c r="FL55" s="705"/>
      <c r="FM55" s="705"/>
      <c r="FN55" s="705"/>
      <c r="FO55" s="705"/>
      <c r="FP55" s="705"/>
      <c r="FQ55" s="705"/>
      <c r="FR55" s="705"/>
      <c r="FS55" s="705"/>
      <c r="FT55" s="705"/>
      <c r="FU55" s="705"/>
      <c r="FV55" s="705"/>
      <c r="FW55" s="705"/>
      <c r="FX55" s="705"/>
      <c r="FY55" s="705"/>
      <c r="FZ55" s="705"/>
      <c r="GA55" s="705"/>
      <c r="GB55" s="705"/>
      <c r="GC55" s="705"/>
      <c r="GD55" s="705"/>
      <c r="GE55" s="705"/>
      <c r="GF55" s="705"/>
      <c r="GG55" s="705"/>
      <c r="GH55" s="705"/>
      <c r="GI55" s="705"/>
      <c r="GJ55" s="705"/>
      <c r="GK55" s="705"/>
      <c r="GL55" s="705"/>
      <c r="GM55" s="705"/>
      <c r="GN55" s="705"/>
      <c r="GO55" s="705"/>
      <c r="GP55" s="705"/>
      <c r="GQ55" s="705"/>
      <c r="GR55" s="705"/>
      <c r="GS55" s="705"/>
      <c r="GT55" s="705"/>
      <c r="GU55" s="705"/>
      <c r="GV55" s="705"/>
      <c r="GW55" s="705"/>
      <c r="GX55" s="705"/>
      <c r="GY55" s="705"/>
      <c r="GZ55" s="705"/>
      <c r="HA55" s="705"/>
      <c r="HB55" s="705"/>
      <c r="HC55" s="705"/>
      <c r="HD55" s="705"/>
      <c r="HE55" s="705"/>
      <c r="HF55" s="705"/>
      <c r="HG55" s="705"/>
      <c r="HH55" s="705"/>
      <c r="HI55" s="705"/>
      <c r="HJ55" s="705"/>
      <c r="HK55" s="705"/>
      <c r="HL55" s="705"/>
      <c r="HM55" s="705"/>
      <c r="HN55" s="705"/>
      <c r="HO55" s="705"/>
      <c r="HP55" s="705"/>
      <c r="HQ55" s="705"/>
      <c r="HR55" s="705"/>
      <c r="HS55" s="705"/>
      <c r="HT55" s="705"/>
      <c r="HU55" s="705"/>
      <c r="HV55" s="705"/>
      <c r="HW55" s="705"/>
    </row>
    <row r="56" spans="1:231" ht="14.1" customHeight="1">
      <c r="A56" s="705"/>
      <c r="B56" s="732"/>
      <c r="C56" s="732"/>
      <c r="E56" s="753"/>
      <c r="F56" s="705"/>
      <c r="G56" s="705"/>
      <c r="H56" s="705"/>
      <c r="I56" s="705"/>
      <c r="K56" s="724"/>
      <c r="L56" s="704"/>
      <c r="M56" s="704"/>
      <c r="N56" s="704"/>
      <c r="O56" s="704"/>
      <c r="P56" s="704"/>
      <c r="Q56" s="704"/>
      <c r="R56" s="704"/>
      <c r="S56" s="704"/>
      <c r="T56" s="704"/>
      <c r="U56" s="704"/>
      <c r="V56" s="704"/>
      <c r="W56" s="704"/>
      <c r="X56" s="705"/>
      <c r="Y56" s="705"/>
      <c r="Z56" s="705"/>
      <c r="AA56" s="705"/>
      <c r="AB56" s="705"/>
      <c r="AC56" s="705"/>
      <c r="AD56" s="705"/>
      <c r="AE56" s="705"/>
      <c r="AF56" s="705"/>
      <c r="AG56" s="705"/>
      <c r="AH56" s="705"/>
      <c r="AI56" s="705"/>
      <c r="AJ56" s="705"/>
      <c r="AK56" s="705"/>
      <c r="AL56" s="705"/>
      <c r="AM56" s="705"/>
      <c r="AN56" s="705"/>
      <c r="AO56" s="705"/>
      <c r="AP56" s="705"/>
      <c r="AQ56" s="705"/>
      <c r="AR56" s="705"/>
      <c r="AS56" s="705"/>
      <c r="AT56" s="705"/>
      <c r="AU56" s="705"/>
      <c r="AV56" s="705"/>
      <c r="AW56" s="705"/>
      <c r="AX56" s="705"/>
      <c r="AY56" s="705"/>
      <c r="AZ56" s="705"/>
      <c r="BA56" s="705"/>
      <c r="BB56" s="705"/>
      <c r="BC56" s="705"/>
      <c r="BD56" s="705"/>
      <c r="BE56" s="705"/>
      <c r="BF56" s="705"/>
      <c r="BG56" s="705"/>
      <c r="BH56" s="705"/>
      <c r="BI56" s="705"/>
      <c r="BJ56" s="705"/>
      <c r="BK56" s="705"/>
      <c r="BL56" s="705"/>
      <c r="BM56" s="705"/>
      <c r="BN56" s="705"/>
      <c r="BO56" s="705"/>
      <c r="BP56" s="705"/>
      <c r="BQ56" s="705"/>
      <c r="BR56" s="705"/>
      <c r="BS56" s="705"/>
      <c r="BT56" s="705"/>
      <c r="BU56" s="705"/>
      <c r="BV56" s="705"/>
      <c r="BW56" s="705"/>
      <c r="BX56" s="705"/>
      <c r="BY56" s="705"/>
      <c r="BZ56" s="705"/>
      <c r="CA56" s="705"/>
      <c r="CB56" s="705"/>
      <c r="CC56" s="705"/>
      <c r="CD56" s="705"/>
      <c r="CE56" s="705"/>
      <c r="CF56" s="705"/>
      <c r="CG56" s="705"/>
      <c r="CH56" s="705"/>
      <c r="CI56" s="705"/>
      <c r="CJ56" s="705"/>
      <c r="CK56" s="705"/>
      <c r="CL56" s="705"/>
      <c r="CM56" s="705"/>
      <c r="CN56" s="705"/>
      <c r="CO56" s="705"/>
      <c r="CP56" s="705"/>
      <c r="CQ56" s="705"/>
      <c r="CR56" s="705"/>
      <c r="CS56" s="705"/>
      <c r="CT56" s="705"/>
      <c r="CU56" s="705"/>
      <c r="CV56" s="705"/>
      <c r="CW56" s="705"/>
      <c r="CX56" s="705"/>
      <c r="CY56" s="705"/>
      <c r="CZ56" s="705"/>
      <c r="DA56" s="705"/>
      <c r="DB56" s="705"/>
      <c r="DC56" s="705"/>
      <c r="DD56" s="705"/>
      <c r="DE56" s="705"/>
      <c r="DF56" s="705"/>
      <c r="DG56" s="705"/>
      <c r="DH56" s="705"/>
      <c r="DI56" s="705"/>
      <c r="DJ56" s="705"/>
      <c r="DK56" s="705"/>
      <c r="DL56" s="705"/>
      <c r="DM56" s="705"/>
      <c r="DN56" s="705"/>
      <c r="DO56" s="705"/>
      <c r="DP56" s="705"/>
      <c r="DQ56" s="705"/>
      <c r="DR56" s="705"/>
      <c r="DS56" s="705"/>
      <c r="DT56" s="705"/>
      <c r="DU56" s="705"/>
      <c r="DV56" s="705"/>
      <c r="DW56" s="705"/>
      <c r="DX56" s="705"/>
      <c r="DY56" s="705"/>
      <c r="DZ56" s="705"/>
      <c r="EA56" s="705"/>
      <c r="EB56" s="705"/>
      <c r="EC56" s="705"/>
      <c r="ED56" s="705"/>
      <c r="EE56" s="705"/>
      <c r="EF56" s="705"/>
      <c r="EG56" s="705"/>
      <c r="EH56" s="705"/>
      <c r="EI56" s="705"/>
      <c r="EJ56" s="705"/>
      <c r="EK56" s="705"/>
      <c r="EL56" s="705"/>
      <c r="EM56" s="705"/>
      <c r="EN56" s="705"/>
      <c r="EO56" s="705"/>
      <c r="EP56" s="705"/>
      <c r="EQ56" s="705"/>
      <c r="ER56" s="705"/>
      <c r="ES56" s="705"/>
      <c r="ET56" s="705"/>
      <c r="EU56" s="705"/>
      <c r="EV56" s="705"/>
      <c r="EW56" s="705"/>
      <c r="EX56" s="705"/>
      <c r="EY56" s="705"/>
      <c r="EZ56" s="705"/>
      <c r="FA56" s="705"/>
      <c r="FB56" s="705"/>
      <c r="FC56" s="705"/>
      <c r="FD56" s="705"/>
      <c r="FE56" s="705"/>
      <c r="FF56" s="705"/>
      <c r="FG56" s="705"/>
      <c r="FH56" s="705"/>
      <c r="FI56" s="705"/>
      <c r="FJ56" s="705"/>
      <c r="FK56" s="705"/>
      <c r="FL56" s="705"/>
      <c r="FM56" s="705"/>
      <c r="FN56" s="705"/>
      <c r="FO56" s="705"/>
      <c r="FP56" s="705"/>
      <c r="FQ56" s="705"/>
      <c r="FR56" s="705"/>
      <c r="FS56" s="705"/>
      <c r="FT56" s="705"/>
      <c r="FU56" s="705"/>
      <c r="FV56" s="705"/>
      <c r="FW56" s="705"/>
      <c r="FX56" s="705"/>
      <c r="FY56" s="705"/>
      <c r="FZ56" s="705"/>
      <c r="GA56" s="705"/>
      <c r="GB56" s="705"/>
      <c r="GC56" s="705"/>
      <c r="GD56" s="705"/>
      <c r="GE56" s="705"/>
      <c r="GF56" s="705"/>
      <c r="GG56" s="705"/>
      <c r="GH56" s="705"/>
      <c r="GI56" s="705"/>
      <c r="GJ56" s="705"/>
      <c r="GK56" s="705"/>
      <c r="GL56" s="705"/>
      <c r="GM56" s="705"/>
      <c r="GN56" s="705"/>
      <c r="GO56" s="705"/>
      <c r="GP56" s="705"/>
      <c r="GQ56" s="705"/>
      <c r="GR56" s="705"/>
      <c r="GS56" s="705"/>
      <c r="GT56" s="705"/>
      <c r="GU56" s="705"/>
      <c r="GV56" s="705"/>
      <c r="GW56" s="705"/>
      <c r="GX56" s="705"/>
      <c r="GY56" s="705"/>
      <c r="GZ56" s="705"/>
      <c r="HA56" s="705"/>
      <c r="HB56" s="705"/>
      <c r="HC56" s="705"/>
      <c r="HD56" s="705"/>
      <c r="HE56" s="705"/>
      <c r="HF56" s="705"/>
      <c r="HG56" s="705"/>
      <c r="HH56" s="705"/>
      <c r="HI56" s="705"/>
      <c r="HJ56" s="705"/>
      <c r="HK56" s="705"/>
      <c r="HL56" s="705"/>
      <c r="HM56" s="705"/>
      <c r="HN56" s="705"/>
      <c r="HO56" s="705"/>
      <c r="HP56" s="705"/>
      <c r="HQ56" s="705"/>
      <c r="HR56" s="705"/>
      <c r="HS56" s="705"/>
      <c r="HT56" s="705"/>
      <c r="HU56" s="705"/>
      <c r="HV56" s="705"/>
      <c r="HW56" s="705"/>
    </row>
    <row r="57" spans="1:231" ht="14.1" customHeight="1">
      <c r="A57" s="705"/>
      <c r="B57" s="732"/>
      <c r="C57" s="732"/>
      <c r="E57" s="753"/>
      <c r="F57" s="705"/>
      <c r="G57" s="705"/>
      <c r="H57" s="705"/>
      <c r="I57" s="705"/>
      <c r="K57" s="724"/>
      <c r="L57" s="704"/>
      <c r="M57" s="704"/>
      <c r="N57" s="704"/>
      <c r="O57" s="704"/>
      <c r="P57" s="704"/>
      <c r="Q57" s="704"/>
      <c r="R57" s="704"/>
      <c r="S57" s="704"/>
      <c r="T57" s="704"/>
      <c r="U57" s="704"/>
      <c r="V57" s="704"/>
      <c r="W57" s="704"/>
      <c r="X57" s="705"/>
      <c r="Y57" s="705"/>
      <c r="Z57" s="705"/>
      <c r="AA57" s="705"/>
      <c r="AB57" s="705"/>
      <c r="AC57" s="705"/>
      <c r="AD57" s="705"/>
      <c r="AE57" s="705"/>
      <c r="AF57" s="705"/>
      <c r="AG57" s="705"/>
      <c r="AH57" s="705"/>
      <c r="AI57" s="705"/>
      <c r="AJ57" s="705"/>
      <c r="AK57" s="705"/>
      <c r="AL57" s="705"/>
      <c r="AM57" s="705"/>
      <c r="AN57" s="705"/>
      <c r="AO57" s="705"/>
      <c r="AP57" s="705"/>
      <c r="AQ57" s="705"/>
      <c r="AR57" s="705"/>
      <c r="AS57" s="705"/>
      <c r="AT57" s="705"/>
      <c r="AU57" s="705"/>
      <c r="AV57" s="705"/>
      <c r="AW57" s="705"/>
      <c r="AX57" s="705"/>
      <c r="AY57" s="705"/>
      <c r="AZ57" s="705"/>
      <c r="BA57" s="705"/>
      <c r="BB57" s="705"/>
      <c r="BC57" s="705"/>
      <c r="BD57" s="705"/>
      <c r="BE57" s="705"/>
      <c r="BF57" s="705"/>
      <c r="BG57" s="705"/>
      <c r="BH57" s="705"/>
      <c r="BI57" s="705"/>
      <c r="BJ57" s="705"/>
      <c r="BK57" s="705"/>
      <c r="BL57" s="705"/>
      <c r="BM57" s="705"/>
      <c r="BN57" s="705"/>
      <c r="BO57" s="705"/>
      <c r="BP57" s="705"/>
      <c r="BQ57" s="705"/>
      <c r="BR57" s="705"/>
      <c r="BS57" s="705"/>
      <c r="BT57" s="705"/>
      <c r="BU57" s="705"/>
      <c r="BV57" s="705"/>
      <c r="BW57" s="705"/>
      <c r="BX57" s="705"/>
      <c r="BY57" s="705"/>
      <c r="BZ57" s="705"/>
      <c r="CA57" s="705"/>
      <c r="CB57" s="705"/>
      <c r="CC57" s="705"/>
      <c r="CD57" s="705"/>
      <c r="CE57" s="705"/>
      <c r="CF57" s="705"/>
      <c r="CG57" s="705"/>
      <c r="CH57" s="705"/>
      <c r="CI57" s="705"/>
      <c r="CJ57" s="705"/>
      <c r="CK57" s="705"/>
      <c r="CL57" s="705"/>
      <c r="CM57" s="705"/>
      <c r="CN57" s="705"/>
      <c r="CO57" s="705"/>
      <c r="CP57" s="705"/>
      <c r="CQ57" s="705"/>
      <c r="CR57" s="705"/>
      <c r="CS57" s="705"/>
      <c r="CT57" s="705"/>
      <c r="CU57" s="705"/>
      <c r="CV57" s="705"/>
      <c r="CW57" s="705"/>
      <c r="CX57" s="705"/>
      <c r="CY57" s="705"/>
      <c r="CZ57" s="705"/>
      <c r="DA57" s="705"/>
      <c r="DB57" s="705"/>
      <c r="DC57" s="705"/>
      <c r="DD57" s="705"/>
      <c r="DE57" s="705"/>
      <c r="DF57" s="705"/>
      <c r="DG57" s="705"/>
      <c r="DH57" s="705"/>
      <c r="DI57" s="705"/>
      <c r="DJ57" s="705"/>
      <c r="DK57" s="705"/>
      <c r="DL57" s="705"/>
      <c r="DM57" s="705"/>
      <c r="DN57" s="705"/>
      <c r="DO57" s="705"/>
      <c r="DP57" s="705"/>
      <c r="DQ57" s="705"/>
      <c r="DR57" s="705"/>
      <c r="DS57" s="705"/>
      <c r="DT57" s="705"/>
      <c r="DU57" s="705"/>
      <c r="DV57" s="705"/>
      <c r="DW57" s="705"/>
      <c r="DX57" s="705"/>
      <c r="DY57" s="705"/>
      <c r="DZ57" s="705"/>
      <c r="EA57" s="705"/>
      <c r="EB57" s="705"/>
      <c r="EC57" s="705"/>
      <c r="ED57" s="705"/>
      <c r="EE57" s="705"/>
      <c r="EF57" s="705"/>
      <c r="EG57" s="705"/>
      <c r="EH57" s="705"/>
      <c r="EI57" s="705"/>
      <c r="EJ57" s="705"/>
      <c r="EK57" s="705"/>
      <c r="EL57" s="705"/>
      <c r="EM57" s="705"/>
      <c r="EN57" s="705"/>
      <c r="EO57" s="705"/>
      <c r="EP57" s="705"/>
      <c r="EQ57" s="705"/>
      <c r="ER57" s="705"/>
      <c r="ES57" s="705"/>
      <c r="ET57" s="705"/>
      <c r="EU57" s="705"/>
      <c r="EV57" s="705"/>
      <c r="EW57" s="705"/>
      <c r="EX57" s="705"/>
      <c r="EY57" s="705"/>
      <c r="EZ57" s="705"/>
      <c r="FA57" s="705"/>
      <c r="FB57" s="705"/>
      <c r="FC57" s="705"/>
      <c r="FD57" s="705"/>
      <c r="FE57" s="705"/>
      <c r="FF57" s="705"/>
      <c r="FG57" s="705"/>
      <c r="FH57" s="705"/>
      <c r="FI57" s="705"/>
      <c r="FJ57" s="705"/>
      <c r="FK57" s="705"/>
      <c r="FL57" s="705"/>
      <c r="FM57" s="705"/>
      <c r="FN57" s="705"/>
      <c r="FO57" s="705"/>
      <c r="FP57" s="705"/>
      <c r="FQ57" s="705"/>
      <c r="FR57" s="705"/>
      <c r="FS57" s="705"/>
      <c r="FT57" s="705"/>
      <c r="FU57" s="705"/>
      <c r="FV57" s="705"/>
      <c r="FW57" s="705"/>
      <c r="FX57" s="705"/>
      <c r="FY57" s="705"/>
      <c r="FZ57" s="705"/>
      <c r="GA57" s="705"/>
      <c r="GB57" s="705"/>
      <c r="GC57" s="705"/>
      <c r="GD57" s="705"/>
      <c r="GE57" s="705"/>
      <c r="GF57" s="705"/>
      <c r="GG57" s="705"/>
      <c r="GH57" s="705"/>
      <c r="GI57" s="705"/>
      <c r="GJ57" s="705"/>
      <c r="GK57" s="705"/>
      <c r="GL57" s="705"/>
      <c r="GM57" s="705"/>
      <c r="GN57" s="705"/>
      <c r="GO57" s="705"/>
      <c r="GP57" s="705"/>
      <c r="GQ57" s="705"/>
      <c r="GR57" s="705"/>
      <c r="GS57" s="705"/>
      <c r="GT57" s="705"/>
      <c r="GU57" s="705"/>
      <c r="GV57" s="705"/>
      <c r="GW57" s="705"/>
      <c r="GX57" s="705"/>
      <c r="GY57" s="705"/>
      <c r="GZ57" s="705"/>
      <c r="HA57" s="705"/>
      <c r="HB57" s="705"/>
      <c r="HC57" s="705"/>
      <c r="HD57" s="705"/>
      <c r="HE57" s="705"/>
      <c r="HF57" s="705"/>
      <c r="HG57" s="705"/>
      <c r="HH57" s="705"/>
      <c r="HI57" s="705"/>
      <c r="HJ57" s="705"/>
      <c r="HK57" s="705"/>
      <c r="HL57" s="705"/>
      <c r="HM57" s="705"/>
      <c r="HN57" s="705"/>
      <c r="HO57" s="705"/>
      <c r="HP57" s="705"/>
      <c r="HQ57" s="705"/>
      <c r="HR57" s="705"/>
      <c r="HS57" s="705"/>
      <c r="HT57" s="705"/>
      <c r="HU57" s="705"/>
      <c r="HV57" s="705"/>
      <c r="HW57" s="705"/>
    </row>
    <row r="58" spans="1:231" ht="14.1" customHeight="1">
      <c r="A58" s="705"/>
      <c r="B58" s="732"/>
      <c r="C58" s="732"/>
      <c r="E58" s="753"/>
      <c r="F58" s="705"/>
      <c r="G58" s="705"/>
      <c r="H58" s="705"/>
      <c r="I58" s="705"/>
      <c r="K58" s="724"/>
      <c r="L58" s="704"/>
      <c r="M58" s="704"/>
      <c r="N58" s="704"/>
      <c r="O58" s="704"/>
      <c r="P58" s="704"/>
      <c r="Q58" s="704"/>
      <c r="R58" s="704"/>
      <c r="S58" s="704"/>
      <c r="T58" s="704"/>
      <c r="U58" s="704"/>
      <c r="V58" s="704"/>
      <c r="W58" s="704"/>
      <c r="X58" s="705"/>
      <c r="Y58" s="705"/>
      <c r="Z58" s="705"/>
      <c r="AA58" s="705"/>
      <c r="AB58" s="705"/>
      <c r="AC58" s="705"/>
      <c r="AD58" s="705"/>
      <c r="AE58" s="705"/>
      <c r="AF58" s="705"/>
      <c r="AG58" s="705"/>
      <c r="AH58" s="705"/>
      <c r="AI58" s="705"/>
      <c r="AJ58" s="705"/>
      <c r="AK58" s="705"/>
      <c r="AL58" s="705"/>
      <c r="AM58" s="705"/>
      <c r="AN58" s="705"/>
      <c r="AO58" s="705"/>
      <c r="AP58" s="705"/>
      <c r="AQ58" s="705"/>
      <c r="AR58" s="705"/>
      <c r="AS58" s="705"/>
      <c r="AT58" s="705"/>
      <c r="AU58" s="705"/>
      <c r="AV58" s="705"/>
      <c r="AW58" s="705"/>
      <c r="AX58" s="705"/>
      <c r="AY58" s="705"/>
      <c r="AZ58" s="705"/>
      <c r="BA58" s="705"/>
      <c r="BB58" s="705"/>
      <c r="BC58" s="705"/>
      <c r="BD58" s="705"/>
      <c r="BE58" s="705"/>
      <c r="BF58" s="705"/>
      <c r="BG58" s="705"/>
      <c r="BH58" s="705"/>
      <c r="BI58" s="705"/>
      <c r="BJ58" s="705"/>
      <c r="BK58" s="705"/>
      <c r="BL58" s="705"/>
      <c r="BM58" s="705"/>
      <c r="BN58" s="705"/>
      <c r="BO58" s="705"/>
      <c r="BP58" s="705"/>
      <c r="BQ58" s="705"/>
      <c r="BR58" s="705"/>
      <c r="BS58" s="705"/>
      <c r="BT58" s="705"/>
      <c r="BU58" s="705"/>
      <c r="BV58" s="705"/>
      <c r="BW58" s="705"/>
      <c r="BX58" s="705"/>
      <c r="BY58" s="705"/>
      <c r="BZ58" s="705"/>
      <c r="CA58" s="705"/>
      <c r="CB58" s="705"/>
      <c r="CC58" s="705"/>
      <c r="CD58" s="705"/>
      <c r="CE58" s="705"/>
      <c r="CF58" s="705"/>
      <c r="CG58" s="705"/>
      <c r="CH58" s="705"/>
      <c r="CI58" s="705"/>
      <c r="CJ58" s="705"/>
      <c r="CK58" s="705"/>
      <c r="CL58" s="705"/>
      <c r="CM58" s="705"/>
      <c r="CN58" s="705"/>
      <c r="CO58" s="705"/>
      <c r="CP58" s="705"/>
      <c r="CQ58" s="705"/>
      <c r="CR58" s="705"/>
      <c r="CS58" s="705"/>
      <c r="CT58" s="705"/>
      <c r="CU58" s="705"/>
      <c r="CV58" s="705"/>
      <c r="CW58" s="705"/>
      <c r="CX58" s="705"/>
      <c r="CY58" s="705"/>
      <c r="CZ58" s="705"/>
      <c r="DA58" s="705"/>
      <c r="DB58" s="705"/>
      <c r="DC58" s="705"/>
      <c r="DD58" s="705"/>
      <c r="DE58" s="705"/>
      <c r="DF58" s="705"/>
      <c r="DG58" s="705"/>
      <c r="DH58" s="705"/>
      <c r="DI58" s="705"/>
      <c r="DJ58" s="705"/>
      <c r="DK58" s="705"/>
      <c r="DL58" s="705"/>
      <c r="DM58" s="705"/>
      <c r="DN58" s="705"/>
      <c r="DO58" s="705"/>
      <c r="DP58" s="705"/>
      <c r="DQ58" s="705"/>
      <c r="DR58" s="705"/>
      <c r="DS58" s="705"/>
      <c r="DT58" s="705"/>
      <c r="DU58" s="705"/>
      <c r="DV58" s="705"/>
      <c r="DW58" s="705"/>
      <c r="DX58" s="705"/>
      <c r="DY58" s="705"/>
      <c r="DZ58" s="705"/>
      <c r="EA58" s="705"/>
      <c r="EB58" s="705"/>
      <c r="EC58" s="705"/>
      <c r="ED58" s="705"/>
      <c r="EE58" s="705"/>
      <c r="EF58" s="705"/>
      <c r="EG58" s="705"/>
      <c r="EH58" s="705"/>
      <c r="EI58" s="705"/>
      <c r="EJ58" s="705"/>
      <c r="EK58" s="705"/>
      <c r="EL58" s="705"/>
      <c r="EM58" s="705"/>
      <c r="EN58" s="705"/>
      <c r="EO58" s="705"/>
      <c r="EP58" s="705"/>
      <c r="EQ58" s="705"/>
      <c r="ER58" s="705"/>
      <c r="ES58" s="705"/>
      <c r="ET58" s="705"/>
      <c r="EU58" s="705"/>
      <c r="EV58" s="705"/>
      <c r="EW58" s="705"/>
      <c r="EX58" s="705"/>
      <c r="EY58" s="705"/>
      <c r="EZ58" s="705"/>
      <c r="FA58" s="705"/>
      <c r="FB58" s="705"/>
      <c r="FC58" s="705"/>
      <c r="FD58" s="705"/>
      <c r="FE58" s="705"/>
      <c r="FF58" s="705"/>
      <c r="FG58" s="705"/>
      <c r="FH58" s="705"/>
      <c r="FI58" s="705"/>
      <c r="FJ58" s="705"/>
      <c r="FK58" s="705"/>
      <c r="FL58" s="705"/>
      <c r="FM58" s="705"/>
      <c r="FN58" s="705"/>
      <c r="FO58" s="705"/>
      <c r="FP58" s="705"/>
      <c r="FQ58" s="705"/>
      <c r="FR58" s="705"/>
      <c r="FS58" s="705"/>
      <c r="FT58" s="705"/>
      <c r="FU58" s="705"/>
      <c r="FV58" s="705"/>
      <c r="FW58" s="705"/>
      <c r="FX58" s="705"/>
      <c r="FY58" s="705"/>
      <c r="FZ58" s="705"/>
      <c r="GA58" s="705"/>
      <c r="GB58" s="705"/>
      <c r="GC58" s="705"/>
      <c r="GD58" s="705"/>
      <c r="GE58" s="705"/>
      <c r="GF58" s="705"/>
      <c r="GG58" s="705"/>
      <c r="GH58" s="705"/>
      <c r="GI58" s="705"/>
      <c r="GJ58" s="705"/>
      <c r="GK58" s="705"/>
      <c r="GL58" s="705"/>
      <c r="GM58" s="705"/>
      <c r="GN58" s="705"/>
      <c r="GO58" s="705"/>
      <c r="GP58" s="705"/>
      <c r="GQ58" s="705"/>
      <c r="GR58" s="705"/>
      <c r="GS58" s="705"/>
      <c r="GT58" s="705"/>
      <c r="GU58" s="705"/>
      <c r="GV58" s="705"/>
      <c r="GW58" s="705"/>
      <c r="GX58" s="705"/>
      <c r="GY58" s="705"/>
      <c r="GZ58" s="705"/>
      <c r="HA58" s="705"/>
      <c r="HB58" s="705"/>
      <c r="HC58" s="705"/>
      <c r="HD58" s="705"/>
      <c r="HE58" s="705"/>
      <c r="HF58" s="705"/>
      <c r="HG58" s="705"/>
      <c r="HH58" s="705"/>
      <c r="HI58" s="705"/>
      <c r="HJ58" s="705"/>
      <c r="HK58" s="705"/>
      <c r="HL58" s="705"/>
      <c r="HM58" s="705"/>
      <c r="HN58" s="705"/>
      <c r="HO58" s="705"/>
      <c r="HP58" s="705"/>
      <c r="HQ58" s="705"/>
      <c r="HR58" s="705"/>
      <c r="HS58" s="705"/>
      <c r="HT58" s="705"/>
      <c r="HU58" s="705"/>
      <c r="HV58" s="705"/>
      <c r="HW58" s="705"/>
    </row>
    <row r="59" spans="1:231" ht="14.1" customHeight="1">
      <c r="A59" s="705"/>
      <c r="B59" s="732"/>
      <c r="C59" s="732"/>
      <c r="E59" s="753"/>
      <c r="F59" s="705"/>
      <c r="G59" s="705"/>
      <c r="H59" s="705"/>
      <c r="I59" s="705"/>
      <c r="K59" s="724"/>
      <c r="L59" s="704"/>
      <c r="M59" s="704"/>
      <c r="N59" s="704"/>
      <c r="O59" s="704"/>
      <c r="P59" s="704"/>
      <c r="Q59" s="704"/>
      <c r="R59" s="704"/>
      <c r="S59" s="704"/>
      <c r="T59" s="704"/>
      <c r="U59" s="704"/>
      <c r="V59" s="704"/>
      <c r="W59" s="704"/>
      <c r="X59" s="705"/>
      <c r="Y59" s="705"/>
      <c r="Z59" s="705"/>
      <c r="AA59" s="705"/>
      <c r="AB59" s="705"/>
      <c r="AC59" s="705"/>
      <c r="AD59" s="705"/>
      <c r="AE59" s="705"/>
      <c r="AF59" s="705"/>
      <c r="AG59" s="705"/>
      <c r="AH59" s="705"/>
      <c r="AI59" s="705"/>
      <c r="AJ59" s="705"/>
      <c r="AK59" s="705"/>
      <c r="AL59" s="705"/>
      <c r="AM59" s="705"/>
      <c r="AN59" s="705"/>
      <c r="AO59" s="705"/>
      <c r="AP59" s="705"/>
      <c r="AQ59" s="705"/>
      <c r="AR59" s="705"/>
      <c r="AS59" s="705"/>
      <c r="AT59" s="705"/>
      <c r="AU59" s="705"/>
      <c r="AV59" s="705"/>
      <c r="AW59" s="705"/>
      <c r="AX59" s="705"/>
      <c r="AY59" s="705"/>
      <c r="AZ59" s="705"/>
      <c r="BA59" s="705"/>
      <c r="BB59" s="705"/>
      <c r="BC59" s="705"/>
      <c r="BD59" s="705"/>
      <c r="BE59" s="705"/>
      <c r="BF59" s="705"/>
      <c r="BG59" s="705"/>
      <c r="BH59" s="705"/>
      <c r="BI59" s="705"/>
      <c r="BJ59" s="705"/>
      <c r="BK59" s="705"/>
      <c r="BL59" s="705"/>
      <c r="BM59" s="705"/>
      <c r="BN59" s="705"/>
      <c r="BO59" s="705"/>
      <c r="BP59" s="705"/>
      <c r="BQ59" s="705"/>
      <c r="BR59" s="705"/>
      <c r="BS59" s="705"/>
      <c r="BT59" s="705"/>
      <c r="BU59" s="705"/>
      <c r="BV59" s="705"/>
      <c r="BW59" s="705"/>
      <c r="BX59" s="705"/>
      <c r="BY59" s="705"/>
      <c r="BZ59" s="705"/>
      <c r="CA59" s="705"/>
      <c r="CB59" s="705"/>
      <c r="CC59" s="705"/>
      <c r="CD59" s="705"/>
      <c r="CE59" s="705"/>
      <c r="CF59" s="705"/>
      <c r="CG59" s="705"/>
      <c r="CH59" s="705"/>
      <c r="CI59" s="705"/>
      <c r="CJ59" s="705"/>
      <c r="CK59" s="705"/>
      <c r="CL59" s="705"/>
      <c r="CM59" s="705"/>
      <c r="CN59" s="705"/>
      <c r="CO59" s="705"/>
      <c r="CP59" s="705"/>
      <c r="CQ59" s="705"/>
      <c r="CR59" s="705"/>
      <c r="CS59" s="705"/>
      <c r="CT59" s="705"/>
      <c r="CU59" s="705"/>
      <c r="CV59" s="705"/>
      <c r="CW59" s="705"/>
      <c r="CX59" s="705"/>
      <c r="CY59" s="705"/>
      <c r="CZ59" s="705"/>
      <c r="DA59" s="705"/>
      <c r="DB59" s="705"/>
      <c r="DC59" s="705"/>
      <c r="DD59" s="705"/>
      <c r="DE59" s="705"/>
      <c r="DF59" s="705"/>
      <c r="DG59" s="705"/>
      <c r="DH59" s="705"/>
      <c r="DI59" s="705"/>
      <c r="DJ59" s="705"/>
      <c r="DK59" s="705"/>
      <c r="DL59" s="705"/>
      <c r="DM59" s="705"/>
      <c r="DN59" s="705"/>
      <c r="DO59" s="705"/>
      <c r="DP59" s="705"/>
      <c r="DQ59" s="705"/>
      <c r="DR59" s="705"/>
      <c r="DS59" s="705"/>
      <c r="DT59" s="705"/>
      <c r="DU59" s="705"/>
      <c r="DV59" s="705"/>
      <c r="DW59" s="705"/>
      <c r="DX59" s="705"/>
      <c r="DY59" s="705"/>
      <c r="DZ59" s="705"/>
      <c r="EA59" s="705"/>
      <c r="EB59" s="705"/>
      <c r="EC59" s="705"/>
      <c r="ED59" s="705"/>
      <c r="EE59" s="705"/>
      <c r="EF59" s="705"/>
      <c r="EG59" s="705"/>
      <c r="EH59" s="705"/>
      <c r="EI59" s="705"/>
      <c r="EJ59" s="705"/>
      <c r="EK59" s="705"/>
      <c r="EL59" s="705"/>
      <c r="EM59" s="705"/>
      <c r="EN59" s="705"/>
      <c r="EO59" s="705"/>
      <c r="EP59" s="705"/>
      <c r="EQ59" s="705"/>
      <c r="ER59" s="705"/>
      <c r="ES59" s="705"/>
      <c r="ET59" s="705"/>
      <c r="EU59" s="705"/>
      <c r="EV59" s="705"/>
      <c r="EW59" s="705"/>
      <c r="EX59" s="705"/>
      <c r="EY59" s="705"/>
      <c r="EZ59" s="705"/>
      <c r="FA59" s="705"/>
      <c r="FB59" s="705"/>
      <c r="FC59" s="705"/>
      <c r="FD59" s="705"/>
      <c r="FE59" s="705"/>
      <c r="FF59" s="705"/>
      <c r="FG59" s="705"/>
      <c r="FH59" s="705"/>
      <c r="FI59" s="705"/>
      <c r="FJ59" s="705"/>
      <c r="FK59" s="705"/>
      <c r="FL59" s="705"/>
      <c r="FM59" s="705"/>
      <c r="FN59" s="705"/>
      <c r="FO59" s="705"/>
      <c r="FP59" s="705"/>
      <c r="FQ59" s="705"/>
      <c r="FR59" s="705"/>
      <c r="FS59" s="705"/>
      <c r="FT59" s="705"/>
      <c r="FU59" s="705"/>
      <c r="FV59" s="705"/>
      <c r="FW59" s="705"/>
      <c r="FX59" s="705"/>
      <c r="FY59" s="705"/>
      <c r="FZ59" s="705"/>
      <c r="GA59" s="705"/>
      <c r="GB59" s="705"/>
      <c r="GC59" s="705"/>
      <c r="GD59" s="705"/>
      <c r="GE59" s="705"/>
      <c r="GF59" s="705"/>
      <c r="GG59" s="705"/>
      <c r="GH59" s="705"/>
      <c r="GI59" s="705"/>
      <c r="GJ59" s="705"/>
      <c r="GK59" s="705"/>
      <c r="GL59" s="705"/>
      <c r="GM59" s="705"/>
      <c r="GN59" s="705"/>
      <c r="GO59" s="705"/>
      <c r="GP59" s="705"/>
      <c r="GQ59" s="705"/>
      <c r="GR59" s="705"/>
      <c r="GS59" s="705"/>
      <c r="GT59" s="705"/>
      <c r="GU59" s="705"/>
      <c r="GV59" s="705"/>
      <c r="GW59" s="705"/>
      <c r="GX59" s="705"/>
      <c r="GY59" s="705"/>
      <c r="GZ59" s="705"/>
      <c r="HA59" s="705"/>
      <c r="HB59" s="705"/>
      <c r="HC59" s="705"/>
      <c r="HD59" s="705"/>
      <c r="HE59" s="705"/>
      <c r="HF59" s="705"/>
      <c r="HG59" s="705"/>
      <c r="HH59" s="705"/>
      <c r="HI59" s="705"/>
      <c r="HJ59" s="705"/>
      <c r="HK59" s="705"/>
      <c r="HL59" s="705"/>
      <c r="HM59" s="705"/>
      <c r="HN59" s="705"/>
      <c r="HO59" s="705"/>
      <c r="HP59" s="705"/>
      <c r="HQ59" s="705"/>
      <c r="HR59" s="705"/>
      <c r="HS59" s="705"/>
      <c r="HT59" s="705"/>
      <c r="HU59" s="705"/>
      <c r="HV59" s="705"/>
      <c r="HW59" s="705"/>
    </row>
    <row r="60" spans="1:231" ht="14.1" customHeight="1">
      <c r="A60" s="705"/>
      <c r="B60" s="732"/>
      <c r="C60" s="732"/>
      <c r="E60" s="753"/>
      <c r="F60" s="705"/>
      <c r="G60" s="705"/>
      <c r="H60" s="705"/>
      <c r="I60" s="705"/>
      <c r="K60" s="724"/>
      <c r="L60" s="704"/>
      <c r="M60" s="704"/>
      <c r="N60" s="704"/>
      <c r="O60" s="704"/>
      <c r="P60" s="704"/>
      <c r="Q60" s="704"/>
      <c r="R60" s="704"/>
      <c r="S60" s="704"/>
      <c r="T60" s="704"/>
      <c r="U60" s="704"/>
      <c r="V60" s="704"/>
      <c r="W60" s="704"/>
      <c r="X60" s="705"/>
      <c r="Y60" s="705"/>
      <c r="Z60" s="705"/>
      <c r="AA60" s="705"/>
      <c r="AB60" s="705"/>
      <c r="AC60" s="705"/>
      <c r="AD60" s="705"/>
      <c r="AE60" s="705"/>
      <c r="AF60" s="705"/>
      <c r="AG60" s="705"/>
      <c r="AH60" s="705"/>
      <c r="AI60" s="705"/>
      <c r="AJ60" s="705"/>
      <c r="AK60" s="705"/>
      <c r="AL60" s="705"/>
      <c r="AM60" s="705"/>
      <c r="AN60" s="705"/>
      <c r="AO60" s="705"/>
      <c r="AP60" s="705"/>
      <c r="AQ60" s="705"/>
      <c r="AR60" s="705"/>
      <c r="AS60" s="705"/>
      <c r="AT60" s="705"/>
      <c r="AU60" s="705"/>
      <c r="AV60" s="705"/>
      <c r="AW60" s="705"/>
      <c r="AX60" s="705"/>
      <c r="AY60" s="705"/>
      <c r="AZ60" s="705"/>
      <c r="BA60" s="705"/>
      <c r="BB60" s="705"/>
      <c r="BC60" s="705"/>
      <c r="BD60" s="705"/>
      <c r="BE60" s="705"/>
      <c r="BF60" s="705"/>
      <c r="BG60" s="705"/>
      <c r="BH60" s="705"/>
      <c r="BI60" s="705"/>
      <c r="BJ60" s="705"/>
      <c r="BK60" s="705"/>
      <c r="BL60" s="705"/>
      <c r="BM60" s="705"/>
      <c r="BN60" s="705"/>
      <c r="BO60" s="705"/>
      <c r="BP60" s="705"/>
      <c r="BQ60" s="705"/>
      <c r="BR60" s="705"/>
      <c r="BS60" s="705"/>
      <c r="BT60" s="705"/>
      <c r="BU60" s="705"/>
      <c r="BV60" s="705"/>
      <c r="BW60" s="705"/>
      <c r="BX60" s="705"/>
      <c r="BY60" s="705"/>
      <c r="BZ60" s="705"/>
      <c r="CA60" s="705"/>
      <c r="CB60" s="705"/>
      <c r="CC60" s="705"/>
      <c r="CD60" s="705"/>
      <c r="CE60" s="705"/>
      <c r="CF60" s="705"/>
      <c r="CG60" s="705"/>
      <c r="CH60" s="705"/>
      <c r="CI60" s="705"/>
      <c r="CJ60" s="705"/>
      <c r="CK60" s="705"/>
      <c r="CL60" s="705"/>
      <c r="CM60" s="705"/>
      <c r="CN60" s="705"/>
      <c r="CO60" s="705"/>
      <c r="CP60" s="705"/>
      <c r="CQ60" s="705"/>
      <c r="CR60" s="705"/>
      <c r="CS60" s="705"/>
      <c r="CT60" s="705"/>
      <c r="CU60" s="705"/>
      <c r="CV60" s="705"/>
      <c r="CW60" s="705"/>
      <c r="CX60" s="705"/>
      <c r="CY60" s="705"/>
      <c r="CZ60" s="705"/>
      <c r="DA60" s="705"/>
      <c r="DB60" s="705"/>
      <c r="DC60" s="705"/>
      <c r="DD60" s="705"/>
      <c r="DE60" s="705"/>
      <c r="DF60" s="705"/>
      <c r="DG60" s="705"/>
      <c r="DH60" s="705"/>
      <c r="DI60" s="705"/>
      <c r="DJ60" s="705"/>
      <c r="DK60" s="705"/>
      <c r="DL60" s="705"/>
      <c r="DM60" s="705"/>
      <c r="DN60" s="705"/>
      <c r="DO60" s="705"/>
      <c r="DP60" s="705"/>
      <c r="DQ60" s="705"/>
      <c r="DR60" s="705"/>
      <c r="DS60" s="705"/>
      <c r="DT60" s="705"/>
      <c r="DU60" s="705"/>
      <c r="DV60" s="705"/>
      <c r="DW60" s="705"/>
      <c r="DX60" s="705"/>
      <c r="DY60" s="705"/>
      <c r="DZ60" s="705"/>
      <c r="EA60" s="705"/>
      <c r="EB60" s="705"/>
      <c r="EC60" s="705"/>
      <c r="ED60" s="705"/>
      <c r="EE60" s="705"/>
      <c r="EF60" s="705"/>
      <c r="EG60" s="705"/>
      <c r="EH60" s="705"/>
      <c r="EI60" s="705"/>
      <c r="EJ60" s="705"/>
      <c r="EK60" s="705"/>
      <c r="EL60" s="705"/>
      <c r="EM60" s="705"/>
      <c r="EN60" s="705"/>
      <c r="EO60" s="705"/>
      <c r="EP60" s="705"/>
      <c r="EQ60" s="705"/>
      <c r="ER60" s="705"/>
      <c r="ES60" s="705"/>
      <c r="ET60" s="705"/>
      <c r="EU60" s="705"/>
      <c r="EV60" s="705"/>
      <c r="EW60" s="705"/>
      <c r="EX60" s="705"/>
      <c r="EY60" s="705"/>
      <c r="EZ60" s="705"/>
      <c r="FA60" s="705"/>
      <c r="FB60" s="705"/>
      <c r="FC60" s="705"/>
      <c r="FD60" s="705"/>
      <c r="FE60" s="705"/>
      <c r="FF60" s="705"/>
      <c r="FG60" s="705"/>
      <c r="FH60" s="705"/>
      <c r="FI60" s="705"/>
      <c r="FJ60" s="705"/>
      <c r="FK60" s="705"/>
      <c r="FL60" s="705"/>
      <c r="FM60" s="705"/>
      <c r="FN60" s="705"/>
      <c r="FO60" s="705"/>
      <c r="FP60" s="705"/>
      <c r="FQ60" s="705"/>
      <c r="FR60" s="705"/>
      <c r="FS60" s="705"/>
      <c r="FT60" s="705"/>
      <c r="FU60" s="705"/>
      <c r="FV60" s="705"/>
      <c r="FW60" s="705"/>
      <c r="FX60" s="705"/>
      <c r="FY60" s="705"/>
      <c r="FZ60" s="705"/>
      <c r="GA60" s="705"/>
      <c r="GB60" s="705"/>
      <c r="GC60" s="705"/>
      <c r="GD60" s="705"/>
      <c r="GE60" s="705"/>
      <c r="GF60" s="705"/>
      <c r="GG60" s="705"/>
      <c r="GH60" s="705"/>
      <c r="GI60" s="705"/>
      <c r="GJ60" s="705"/>
      <c r="GK60" s="705"/>
      <c r="GL60" s="705"/>
      <c r="GM60" s="705"/>
      <c r="GN60" s="705"/>
      <c r="GO60" s="705"/>
      <c r="GP60" s="705"/>
      <c r="GQ60" s="705"/>
      <c r="GR60" s="705"/>
      <c r="GS60" s="705"/>
      <c r="GT60" s="705"/>
      <c r="GU60" s="705"/>
      <c r="GV60" s="705"/>
      <c r="GW60" s="705"/>
      <c r="GX60" s="705"/>
      <c r="GY60" s="705"/>
      <c r="GZ60" s="705"/>
      <c r="HA60" s="705"/>
      <c r="HB60" s="705"/>
      <c r="HC60" s="705"/>
      <c r="HD60" s="705"/>
      <c r="HE60" s="705"/>
      <c r="HF60" s="705"/>
      <c r="HG60" s="705"/>
      <c r="HH60" s="705"/>
      <c r="HI60" s="705"/>
      <c r="HJ60" s="705"/>
      <c r="HK60" s="705"/>
      <c r="HL60" s="705"/>
      <c r="HM60" s="705"/>
      <c r="HN60" s="705"/>
      <c r="HO60" s="705"/>
      <c r="HP60" s="705"/>
      <c r="HQ60" s="705"/>
      <c r="HR60" s="705"/>
      <c r="HS60" s="705"/>
      <c r="HT60" s="705"/>
      <c r="HU60" s="705"/>
      <c r="HV60" s="705"/>
      <c r="HW60" s="705"/>
    </row>
    <row r="61" spans="1:231" ht="14.1" customHeight="1">
      <c r="A61" s="705"/>
      <c r="B61" s="732"/>
      <c r="C61" s="732"/>
      <c r="E61" s="753"/>
      <c r="F61" s="705"/>
      <c r="G61" s="705"/>
      <c r="H61" s="705"/>
      <c r="I61" s="705"/>
      <c r="K61" s="724"/>
      <c r="L61" s="704"/>
      <c r="M61" s="704"/>
      <c r="N61" s="704"/>
      <c r="O61" s="704"/>
      <c r="P61" s="704"/>
      <c r="Q61" s="704"/>
      <c r="R61" s="704"/>
      <c r="S61" s="704"/>
      <c r="T61" s="704"/>
      <c r="U61" s="704"/>
      <c r="V61" s="704"/>
      <c r="W61" s="704"/>
      <c r="X61" s="705"/>
      <c r="Y61" s="705"/>
      <c r="Z61" s="705"/>
      <c r="AA61" s="705"/>
      <c r="AB61" s="705"/>
      <c r="AC61" s="705"/>
      <c r="AD61" s="705"/>
      <c r="AE61" s="705"/>
      <c r="AF61" s="705"/>
      <c r="AG61" s="705"/>
      <c r="AH61" s="705"/>
      <c r="AI61" s="705"/>
      <c r="AJ61" s="705"/>
      <c r="AK61" s="705"/>
      <c r="AL61" s="705"/>
      <c r="AM61" s="705"/>
      <c r="AN61" s="705"/>
      <c r="AO61" s="705"/>
      <c r="AP61" s="705"/>
      <c r="AQ61" s="705"/>
      <c r="AR61" s="705"/>
      <c r="AS61" s="705"/>
      <c r="AT61" s="705"/>
      <c r="AU61" s="705"/>
      <c r="AV61" s="705"/>
      <c r="AW61" s="705"/>
      <c r="AX61" s="705"/>
      <c r="AY61" s="705"/>
      <c r="AZ61" s="705"/>
      <c r="BA61" s="705"/>
      <c r="BB61" s="705"/>
      <c r="BC61" s="705"/>
      <c r="BD61" s="705"/>
      <c r="BE61" s="705"/>
      <c r="BF61" s="705"/>
      <c r="BG61" s="705"/>
      <c r="BH61" s="705"/>
      <c r="BI61" s="705"/>
      <c r="BJ61" s="705"/>
      <c r="BK61" s="705"/>
      <c r="BL61" s="705"/>
      <c r="BM61" s="705"/>
      <c r="BN61" s="705"/>
      <c r="BO61" s="705"/>
      <c r="BP61" s="705"/>
      <c r="BQ61" s="705"/>
      <c r="BR61" s="705"/>
      <c r="BS61" s="705"/>
      <c r="BT61" s="705"/>
      <c r="BU61" s="705"/>
      <c r="BV61" s="705"/>
      <c r="BW61" s="705"/>
      <c r="BX61" s="705"/>
      <c r="BY61" s="705"/>
      <c r="BZ61" s="705"/>
      <c r="CA61" s="705"/>
      <c r="CB61" s="705"/>
      <c r="CC61" s="705"/>
      <c r="CD61" s="705"/>
      <c r="CE61" s="705"/>
      <c r="CF61" s="705"/>
      <c r="CG61" s="705"/>
      <c r="CH61" s="705"/>
      <c r="CI61" s="705"/>
      <c r="CJ61" s="705"/>
      <c r="CK61" s="705"/>
      <c r="CL61" s="705"/>
      <c r="CM61" s="705"/>
      <c r="CN61" s="705"/>
      <c r="CO61" s="705"/>
      <c r="CP61" s="705"/>
      <c r="CQ61" s="705"/>
      <c r="CR61" s="705"/>
      <c r="CS61" s="705"/>
      <c r="CT61" s="705"/>
      <c r="CU61" s="705"/>
      <c r="CV61" s="705"/>
      <c r="CW61" s="705"/>
      <c r="CX61" s="705"/>
      <c r="CY61" s="705"/>
      <c r="CZ61" s="705"/>
      <c r="DA61" s="705"/>
      <c r="DB61" s="705"/>
      <c r="DC61" s="705"/>
      <c r="DD61" s="705"/>
      <c r="DE61" s="705"/>
      <c r="DF61" s="705"/>
      <c r="DG61" s="705"/>
      <c r="DH61" s="705"/>
      <c r="DI61" s="705"/>
      <c r="DJ61" s="705"/>
      <c r="DK61" s="705"/>
      <c r="DL61" s="705"/>
      <c r="DM61" s="705"/>
      <c r="DN61" s="705"/>
      <c r="DO61" s="705"/>
      <c r="DP61" s="705"/>
      <c r="DQ61" s="705"/>
      <c r="DR61" s="705"/>
      <c r="DS61" s="705"/>
      <c r="DT61" s="705"/>
      <c r="DU61" s="705"/>
      <c r="DV61" s="705"/>
      <c r="DW61" s="705"/>
      <c r="DX61" s="705"/>
      <c r="DY61" s="705"/>
      <c r="DZ61" s="705"/>
      <c r="EA61" s="705"/>
      <c r="EB61" s="705"/>
      <c r="EC61" s="705"/>
      <c r="ED61" s="705"/>
      <c r="EE61" s="705"/>
      <c r="EF61" s="705"/>
      <c r="EG61" s="705"/>
      <c r="EH61" s="705"/>
      <c r="EI61" s="705"/>
      <c r="EJ61" s="705"/>
      <c r="EK61" s="705"/>
      <c r="EL61" s="705"/>
      <c r="EM61" s="705"/>
      <c r="EN61" s="705"/>
      <c r="EO61" s="705"/>
      <c r="EP61" s="705"/>
      <c r="EQ61" s="705"/>
      <c r="ER61" s="705"/>
      <c r="ES61" s="705"/>
      <c r="ET61" s="705"/>
      <c r="EU61" s="705"/>
      <c r="EV61" s="705"/>
      <c r="EW61" s="705"/>
      <c r="EX61" s="705"/>
      <c r="EY61" s="705"/>
      <c r="EZ61" s="705"/>
      <c r="FA61" s="705"/>
      <c r="FB61" s="705"/>
      <c r="FC61" s="705"/>
      <c r="FD61" s="705"/>
      <c r="FE61" s="705"/>
      <c r="FF61" s="705"/>
      <c r="FG61" s="705"/>
      <c r="FH61" s="705"/>
      <c r="FI61" s="705"/>
      <c r="FJ61" s="705"/>
      <c r="FK61" s="705"/>
      <c r="FL61" s="705"/>
      <c r="FM61" s="705"/>
      <c r="FN61" s="705"/>
      <c r="FO61" s="705"/>
      <c r="FP61" s="705"/>
      <c r="FQ61" s="705"/>
      <c r="FR61" s="705"/>
      <c r="FS61" s="705"/>
      <c r="FT61" s="705"/>
      <c r="FU61" s="705"/>
      <c r="FV61" s="705"/>
      <c r="FW61" s="705"/>
      <c r="FX61" s="705"/>
      <c r="FY61" s="705"/>
      <c r="FZ61" s="705"/>
      <c r="GA61" s="705"/>
      <c r="GB61" s="705"/>
      <c r="GC61" s="705"/>
      <c r="GD61" s="705"/>
      <c r="GE61" s="705"/>
      <c r="GF61" s="705"/>
      <c r="GG61" s="705"/>
      <c r="GH61" s="705"/>
      <c r="GI61" s="705"/>
      <c r="GJ61" s="705"/>
      <c r="GK61" s="705"/>
      <c r="GL61" s="705"/>
      <c r="GM61" s="705"/>
      <c r="GN61" s="705"/>
      <c r="GO61" s="705"/>
      <c r="GP61" s="705"/>
      <c r="GQ61" s="705"/>
      <c r="GR61" s="705"/>
      <c r="GS61" s="705"/>
      <c r="GT61" s="705"/>
      <c r="GU61" s="705"/>
      <c r="GV61" s="705"/>
      <c r="GW61" s="705"/>
      <c r="GX61" s="705"/>
      <c r="GY61" s="705"/>
      <c r="GZ61" s="705"/>
      <c r="HA61" s="705"/>
      <c r="HB61" s="705"/>
      <c r="HC61" s="705"/>
      <c r="HD61" s="705"/>
      <c r="HE61" s="705"/>
      <c r="HF61" s="705"/>
      <c r="HG61" s="705"/>
      <c r="HH61" s="705"/>
      <c r="HI61" s="705"/>
      <c r="HJ61" s="705"/>
      <c r="HK61" s="705"/>
      <c r="HL61" s="705"/>
      <c r="HM61" s="705"/>
      <c r="HN61" s="705"/>
      <c r="HO61" s="705"/>
      <c r="HP61" s="705"/>
      <c r="HQ61" s="705"/>
      <c r="HR61" s="705"/>
      <c r="HS61" s="705"/>
      <c r="HT61" s="705"/>
      <c r="HU61" s="705"/>
      <c r="HV61" s="705"/>
      <c r="HW61" s="705"/>
    </row>
    <row r="62" spans="1:231" ht="14.1" customHeight="1">
      <c r="A62" s="705"/>
      <c r="B62" s="732"/>
      <c r="C62" s="732"/>
      <c r="E62" s="753"/>
      <c r="F62" s="705"/>
      <c r="G62" s="705"/>
      <c r="H62" s="705"/>
      <c r="I62" s="705"/>
      <c r="K62" s="724"/>
      <c r="L62" s="704"/>
      <c r="M62" s="704"/>
      <c r="N62" s="704"/>
      <c r="O62" s="704"/>
      <c r="P62" s="704"/>
      <c r="Q62" s="704"/>
      <c r="R62" s="704"/>
      <c r="S62" s="704"/>
      <c r="T62" s="704"/>
      <c r="U62" s="704"/>
      <c r="V62" s="704"/>
      <c r="W62" s="704"/>
      <c r="X62" s="705"/>
      <c r="Y62" s="705"/>
      <c r="Z62" s="705"/>
      <c r="AA62" s="705"/>
      <c r="AB62" s="705"/>
      <c r="AC62" s="705"/>
      <c r="AD62" s="705"/>
      <c r="AE62" s="705"/>
      <c r="AF62" s="705"/>
      <c r="AG62" s="705"/>
      <c r="AH62" s="705"/>
      <c r="AI62" s="705"/>
      <c r="AJ62" s="705"/>
      <c r="AK62" s="705"/>
      <c r="AL62" s="705"/>
      <c r="AM62" s="705"/>
      <c r="AN62" s="705"/>
      <c r="AO62" s="705"/>
      <c r="AP62" s="705"/>
      <c r="AQ62" s="705"/>
      <c r="AR62" s="705"/>
      <c r="AS62" s="705"/>
      <c r="AT62" s="705"/>
      <c r="AU62" s="705"/>
      <c r="AV62" s="705"/>
      <c r="AW62" s="705"/>
      <c r="AX62" s="705"/>
      <c r="AY62" s="705"/>
      <c r="AZ62" s="705"/>
      <c r="BA62" s="705"/>
      <c r="BB62" s="705"/>
      <c r="BC62" s="705"/>
      <c r="BD62" s="705"/>
      <c r="BE62" s="705"/>
      <c r="BF62" s="705"/>
      <c r="BG62" s="705"/>
      <c r="BH62" s="705"/>
      <c r="BI62" s="705"/>
      <c r="BJ62" s="705"/>
      <c r="BK62" s="705"/>
      <c r="BL62" s="705"/>
      <c r="BM62" s="705"/>
      <c r="BN62" s="705"/>
      <c r="BO62" s="705"/>
      <c r="BP62" s="705"/>
      <c r="BQ62" s="705"/>
      <c r="BR62" s="705"/>
      <c r="BS62" s="705"/>
      <c r="BT62" s="705"/>
      <c r="BU62" s="705"/>
      <c r="BV62" s="705"/>
      <c r="BW62" s="705"/>
      <c r="BX62" s="705"/>
      <c r="BY62" s="705"/>
      <c r="BZ62" s="705"/>
      <c r="CA62" s="705"/>
      <c r="CB62" s="705"/>
      <c r="CC62" s="705"/>
      <c r="CD62" s="705"/>
      <c r="CE62" s="705"/>
      <c r="CF62" s="705"/>
      <c r="CG62" s="705"/>
      <c r="CH62" s="705"/>
      <c r="CI62" s="705"/>
      <c r="CJ62" s="705"/>
      <c r="CK62" s="705"/>
      <c r="CL62" s="705"/>
      <c r="CM62" s="705"/>
      <c r="CN62" s="705"/>
      <c r="CO62" s="705"/>
      <c r="CP62" s="705"/>
      <c r="CQ62" s="705"/>
      <c r="CR62" s="705"/>
      <c r="CS62" s="705"/>
      <c r="CT62" s="705"/>
      <c r="CU62" s="705"/>
      <c r="CV62" s="705"/>
      <c r="CW62" s="705"/>
      <c r="CX62" s="705"/>
      <c r="CY62" s="705"/>
      <c r="CZ62" s="705"/>
      <c r="DA62" s="705"/>
      <c r="DB62" s="705"/>
      <c r="DC62" s="705"/>
      <c r="DD62" s="705"/>
      <c r="DE62" s="705"/>
      <c r="DF62" s="705"/>
      <c r="DG62" s="705"/>
      <c r="DH62" s="705"/>
      <c r="DI62" s="705"/>
      <c r="DJ62" s="705"/>
      <c r="DK62" s="705"/>
      <c r="DL62" s="705"/>
      <c r="DM62" s="705"/>
      <c r="DN62" s="705"/>
      <c r="DO62" s="705"/>
      <c r="DP62" s="705"/>
      <c r="DQ62" s="705"/>
      <c r="DR62" s="705"/>
      <c r="DS62" s="705"/>
      <c r="DT62" s="705"/>
      <c r="DU62" s="705"/>
      <c r="DV62" s="705"/>
      <c r="DW62" s="705"/>
      <c r="DX62" s="705"/>
      <c r="DY62" s="705"/>
      <c r="DZ62" s="705"/>
      <c r="EA62" s="705"/>
      <c r="EB62" s="705"/>
      <c r="EC62" s="705"/>
      <c r="ED62" s="705"/>
      <c r="EE62" s="705"/>
      <c r="EF62" s="705"/>
      <c r="EG62" s="705"/>
      <c r="EH62" s="705"/>
      <c r="EI62" s="705"/>
      <c r="EJ62" s="705"/>
      <c r="EK62" s="705"/>
      <c r="EL62" s="705"/>
      <c r="EM62" s="705"/>
      <c r="EN62" s="705"/>
      <c r="EO62" s="705"/>
      <c r="EP62" s="705"/>
      <c r="EQ62" s="705"/>
      <c r="ER62" s="705"/>
      <c r="ES62" s="705"/>
      <c r="ET62" s="705"/>
      <c r="EU62" s="705"/>
      <c r="EV62" s="705"/>
      <c r="EW62" s="705"/>
      <c r="EX62" s="705"/>
      <c r="EY62" s="705"/>
      <c r="EZ62" s="705"/>
      <c r="FA62" s="705"/>
      <c r="FB62" s="705"/>
      <c r="FC62" s="705"/>
      <c r="FD62" s="705"/>
      <c r="FE62" s="705"/>
      <c r="FF62" s="705"/>
      <c r="FG62" s="705"/>
      <c r="FH62" s="705"/>
      <c r="FI62" s="705"/>
      <c r="FJ62" s="705"/>
      <c r="FK62" s="705"/>
      <c r="FL62" s="705"/>
      <c r="FM62" s="705"/>
      <c r="FN62" s="705"/>
      <c r="FO62" s="705"/>
      <c r="FP62" s="705"/>
      <c r="FQ62" s="705"/>
      <c r="FR62" s="705"/>
      <c r="FS62" s="705"/>
      <c r="FT62" s="705"/>
      <c r="FU62" s="705"/>
      <c r="FV62" s="705"/>
      <c r="FW62" s="705"/>
      <c r="FX62" s="705"/>
      <c r="FY62" s="705"/>
      <c r="FZ62" s="705"/>
      <c r="GA62" s="705"/>
      <c r="GB62" s="705"/>
      <c r="GC62" s="705"/>
      <c r="GD62" s="705"/>
      <c r="GE62" s="705"/>
      <c r="GF62" s="705"/>
      <c r="GG62" s="705"/>
      <c r="GH62" s="705"/>
      <c r="GI62" s="705"/>
      <c r="GJ62" s="705"/>
      <c r="GK62" s="705"/>
      <c r="GL62" s="705"/>
      <c r="GM62" s="705"/>
      <c r="GN62" s="705"/>
      <c r="GO62" s="705"/>
      <c r="GP62" s="705"/>
      <c r="GQ62" s="705"/>
      <c r="GR62" s="705"/>
      <c r="GS62" s="705"/>
      <c r="GT62" s="705"/>
      <c r="GU62" s="705"/>
      <c r="GV62" s="705"/>
      <c r="GW62" s="705"/>
      <c r="GX62" s="705"/>
      <c r="GY62" s="705"/>
      <c r="GZ62" s="705"/>
      <c r="HA62" s="705"/>
      <c r="HB62" s="705"/>
      <c r="HC62" s="705"/>
      <c r="HD62" s="705"/>
      <c r="HE62" s="705"/>
      <c r="HF62" s="705"/>
      <c r="HG62" s="705"/>
      <c r="HH62" s="705"/>
      <c r="HI62" s="705"/>
      <c r="HJ62" s="705"/>
      <c r="HK62" s="705"/>
      <c r="HL62" s="705"/>
      <c r="HM62" s="705"/>
      <c r="HN62" s="705"/>
      <c r="HO62" s="705"/>
      <c r="HP62" s="705"/>
      <c r="HQ62" s="705"/>
      <c r="HR62" s="705"/>
      <c r="HS62" s="705"/>
      <c r="HT62" s="705"/>
      <c r="HU62" s="705"/>
      <c r="HV62" s="705"/>
      <c r="HW62" s="705"/>
    </row>
    <row r="63" spans="1:231" ht="14.1" customHeight="1">
      <c r="A63" s="705"/>
      <c r="B63" s="732"/>
      <c r="C63" s="732"/>
      <c r="E63" s="753"/>
      <c r="F63" s="705"/>
      <c r="G63" s="705"/>
      <c r="H63" s="705"/>
      <c r="I63" s="705"/>
      <c r="K63" s="724"/>
      <c r="L63" s="704"/>
      <c r="M63" s="704"/>
      <c r="N63" s="704"/>
      <c r="O63" s="704"/>
      <c r="P63" s="704"/>
      <c r="Q63" s="704"/>
      <c r="R63" s="704"/>
      <c r="S63" s="704"/>
      <c r="T63" s="704"/>
      <c r="U63" s="704"/>
      <c r="V63" s="704"/>
      <c r="W63" s="704"/>
      <c r="X63" s="705"/>
      <c r="Y63" s="705"/>
      <c r="Z63" s="705"/>
      <c r="AA63" s="705"/>
      <c r="AB63" s="705"/>
      <c r="AC63" s="705"/>
      <c r="AD63" s="705"/>
      <c r="AE63" s="705"/>
      <c r="AF63" s="705"/>
      <c r="AG63" s="705"/>
      <c r="AH63" s="705"/>
      <c r="AI63" s="705"/>
      <c r="AJ63" s="705"/>
      <c r="AK63" s="705"/>
      <c r="AL63" s="705"/>
      <c r="AM63" s="705"/>
      <c r="AN63" s="705"/>
      <c r="AO63" s="705"/>
      <c r="AP63" s="705"/>
      <c r="AQ63" s="705"/>
      <c r="AR63" s="705"/>
      <c r="AS63" s="705"/>
      <c r="AT63" s="705"/>
      <c r="AU63" s="705"/>
      <c r="AV63" s="705"/>
      <c r="AW63" s="705"/>
      <c r="AX63" s="705"/>
      <c r="AY63" s="705"/>
      <c r="AZ63" s="705"/>
      <c r="BA63" s="705"/>
      <c r="BB63" s="705"/>
      <c r="BC63" s="705"/>
      <c r="BD63" s="705"/>
      <c r="BE63" s="705"/>
      <c r="BF63" s="705"/>
      <c r="BG63" s="705"/>
      <c r="BH63" s="705"/>
      <c r="BI63" s="705"/>
      <c r="BJ63" s="705"/>
      <c r="BK63" s="705"/>
      <c r="BL63" s="705"/>
      <c r="BM63" s="705"/>
      <c r="BN63" s="705"/>
      <c r="BO63" s="705"/>
      <c r="BP63" s="705"/>
      <c r="BQ63" s="705"/>
      <c r="BR63" s="705"/>
      <c r="BS63" s="705"/>
      <c r="BT63" s="705"/>
      <c r="BU63" s="705"/>
      <c r="BV63" s="705"/>
      <c r="BW63" s="705"/>
      <c r="BX63" s="705"/>
      <c r="BY63" s="705"/>
      <c r="BZ63" s="705"/>
      <c r="CA63" s="705"/>
      <c r="CB63" s="705"/>
      <c r="CC63" s="705"/>
      <c r="CD63" s="705"/>
      <c r="CE63" s="705"/>
      <c r="CF63" s="705"/>
      <c r="CG63" s="705"/>
      <c r="CH63" s="705"/>
      <c r="CI63" s="705"/>
      <c r="CJ63" s="705"/>
      <c r="CK63" s="705"/>
      <c r="CL63" s="705"/>
      <c r="CM63" s="705"/>
      <c r="CN63" s="705"/>
      <c r="CO63" s="705"/>
      <c r="CP63" s="705"/>
      <c r="CQ63" s="705"/>
      <c r="CR63" s="705"/>
      <c r="CS63" s="705"/>
      <c r="CT63" s="705"/>
      <c r="CU63" s="705"/>
      <c r="CV63" s="705"/>
      <c r="CW63" s="705"/>
      <c r="CX63" s="705"/>
      <c r="CY63" s="705"/>
      <c r="CZ63" s="705"/>
      <c r="DA63" s="705"/>
      <c r="DB63" s="705"/>
      <c r="DC63" s="705"/>
      <c r="DD63" s="705"/>
      <c r="DE63" s="705"/>
      <c r="DF63" s="705"/>
      <c r="DG63" s="705"/>
      <c r="DH63" s="705"/>
      <c r="DI63" s="705"/>
      <c r="DJ63" s="705"/>
      <c r="DK63" s="705"/>
      <c r="DL63" s="705"/>
      <c r="DM63" s="705"/>
      <c r="DN63" s="705"/>
      <c r="DO63" s="705"/>
      <c r="DP63" s="705"/>
      <c r="DQ63" s="705"/>
      <c r="DR63" s="705"/>
      <c r="DS63" s="705"/>
      <c r="DT63" s="705"/>
      <c r="DU63" s="705"/>
      <c r="DV63" s="705"/>
      <c r="DW63" s="705"/>
      <c r="DX63" s="705"/>
      <c r="DY63" s="705"/>
      <c r="DZ63" s="705"/>
      <c r="EA63" s="705"/>
      <c r="EB63" s="705"/>
      <c r="EC63" s="705"/>
      <c r="ED63" s="705"/>
      <c r="EE63" s="705"/>
      <c r="EF63" s="705"/>
      <c r="EG63" s="705"/>
      <c r="EH63" s="705"/>
      <c r="EI63" s="705"/>
      <c r="EJ63" s="705"/>
      <c r="EK63" s="705"/>
      <c r="EL63" s="705"/>
      <c r="EM63" s="705"/>
      <c r="EN63" s="705"/>
      <c r="EO63" s="705"/>
      <c r="EP63" s="705"/>
      <c r="EQ63" s="705"/>
      <c r="ER63" s="705"/>
      <c r="ES63" s="705"/>
      <c r="ET63" s="705"/>
      <c r="EU63" s="705"/>
      <c r="EV63" s="705"/>
      <c r="EW63" s="705"/>
      <c r="EX63" s="705"/>
      <c r="EY63" s="705"/>
      <c r="EZ63" s="705"/>
      <c r="FA63" s="705"/>
      <c r="FB63" s="705"/>
      <c r="FC63" s="705"/>
      <c r="FD63" s="705"/>
      <c r="FE63" s="705"/>
      <c r="FF63" s="705"/>
      <c r="FG63" s="705"/>
      <c r="FH63" s="705"/>
      <c r="FI63" s="705"/>
      <c r="FJ63" s="705"/>
      <c r="FK63" s="705"/>
      <c r="FL63" s="705"/>
      <c r="FM63" s="705"/>
      <c r="FN63" s="705"/>
      <c r="FO63" s="705"/>
      <c r="FP63" s="705"/>
      <c r="FQ63" s="705"/>
      <c r="FR63" s="705"/>
      <c r="FS63" s="705"/>
      <c r="FT63" s="705"/>
      <c r="FU63" s="705"/>
      <c r="FV63" s="705"/>
      <c r="FW63" s="705"/>
      <c r="FX63" s="705"/>
      <c r="FY63" s="705"/>
      <c r="FZ63" s="705"/>
      <c r="GA63" s="705"/>
      <c r="GB63" s="705"/>
      <c r="GC63" s="705"/>
      <c r="GD63" s="705"/>
      <c r="GE63" s="705"/>
      <c r="GF63" s="705"/>
      <c r="GG63" s="705"/>
      <c r="GH63" s="705"/>
      <c r="GI63" s="705"/>
      <c r="GJ63" s="705"/>
      <c r="GK63" s="705"/>
      <c r="GL63" s="705"/>
      <c r="GM63" s="705"/>
      <c r="GN63" s="705"/>
      <c r="GO63" s="705"/>
      <c r="GP63" s="705"/>
      <c r="GQ63" s="705"/>
      <c r="GR63" s="705"/>
      <c r="GS63" s="705"/>
      <c r="GT63" s="705"/>
      <c r="GU63" s="705"/>
      <c r="GV63" s="705"/>
      <c r="GW63" s="705"/>
      <c r="GX63" s="705"/>
      <c r="GY63" s="705"/>
      <c r="GZ63" s="705"/>
      <c r="HA63" s="705"/>
      <c r="HB63" s="705"/>
      <c r="HC63" s="705"/>
      <c r="HD63" s="705"/>
      <c r="HE63" s="705"/>
      <c r="HF63" s="705"/>
      <c r="HG63" s="705"/>
      <c r="HH63" s="705"/>
      <c r="HI63" s="705"/>
      <c r="HJ63" s="705"/>
      <c r="HK63" s="705"/>
      <c r="HL63" s="705"/>
      <c r="HM63" s="705"/>
      <c r="HN63" s="705"/>
      <c r="HO63" s="705"/>
      <c r="HP63" s="705"/>
      <c r="HQ63" s="705"/>
      <c r="HR63" s="705"/>
      <c r="HS63" s="705"/>
      <c r="HT63" s="705"/>
      <c r="HU63" s="705"/>
      <c r="HV63" s="705"/>
      <c r="HW63" s="705"/>
    </row>
    <row r="64" spans="1:231" ht="14.1" customHeight="1">
      <c r="A64" s="705"/>
      <c r="B64" s="732"/>
      <c r="C64" s="732"/>
      <c r="E64" s="753"/>
      <c r="F64" s="705"/>
      <c r="G64" s="705"/>
      <c r="H64" s="705"/>
      <c r="I64" s="705"/>
      <c r="K64" s="724"/>
      <c r="L64" s="704"/>
      <c r="M64" s="704"/>
      <c r="N64" s="704"/>
      <c r="O64" s="704"/>
      <c r="P64" s="704"/>
      <c r="Q64" s="704"/>
      <c r="R64" s="704"/>
      <c r="S64" s="704"/>
      <c r="T64" s="704"/>
      <c r="U64" s="704"/>
      <c r="V64" s="704"/>
      <c r="W64" s="704"/>
      <c r="X64" s="705"/>
      <c r="Y64" s="705"/>
      <c r="Z64" s="705"/>
      <c r="AA64" s="705"/>
      <c r="AB64" s="705"/>
      <c r="AC64" s="705"/>
      <c r="AD64" s="705"/>
      <c r="AE64" s="705"/>
      <c r="AF64" s="705"/>
      <c r="AG64" s="705"/>
      <c r="AH64" s="705"/>
      <c r="AI64" s="705"/>
      <c r="AJ64" s="705"/>
      <c r="AK64" s="705"/>
      <c r="AL64" s="705"/>
      <c r="AM64" s="705"/>
      <c r="AN64" s="705"/>
      <c r="AO64" s="705"/>
      <c r="AP64" s="705"/>
      <c r="AQ64" s="705"/>
      <c r="AR64" s="705"/>
      <c r="AS64" s="705"/>
      <c r="AT64" s="705"/>
      <c r="AU64" s="705"/>
      <c r="AV64" s="705"/>
      <c r="AW64" s="705"/>
      <c r="AX64" s="705"/>
      <c r="AY64" s="705"/>
      <c r="AZ64" s="705"/>
      <c r="BA64" s="705"/>
      <c r="BB64" s="705"/>
      <c r="BC64" s="705"/>
      <c r="BD64" s="705"/>
      <c r="BE64" s="705"/>
      <c r="BF64" s="705"/>
      <c r="BG64" s="705"/>
      <c r="BH64" s="705"/>
      <c r="BI64" s="705"/>
      <c r="BJ64" s="705"/>
      <c r="BK64" s="705"/>
      <c r="BL64" s="705"/>
      <c r="BM64" s="705"/>
      <c r="BN64" s="705"/>
      <c r="BO64" s="705"/>
      <c r="BP64" s="705"/>
      <c r="BQ64" s="705"/>
      <c r="BR64" s="705"/>
      <c r="BS64" s="705"/>
      <c r="BT64" s="705"/>
      <c r="BU64" s="705"/>
      <c r="BV64" s="705"/>
      <c r="BW64" s="705"/>
      <c r="BX64" s="705"/>
      <c r="BY64" s="705"/>
      <c r="BZ64" s="705"/>
      <c r="CA64" s="705"/>
      <c r="CB64" s="705"/>
      <c r="CC64" s="705"/>
      <c r="CD64" s="705"/>
      <c r="CE64" s="705"/>
      <c r="CF64" s="705"/>
      <c r="CG64" s="705"/>
      <c r="CH64" s="705"/>
      <c r="CI64" s="705"/>
      <c r="CJ64" s="705"/>
      <c r="CK64" s="705"/>
      <c r="CL64" s="705"/>
      <c r="CM64" s="705"/>
      <c r="CN64" s="705"/>
      <c r="CO64" s="705"/>
      <c r="CP64" s="705"/>
      <c r="CQ64" s="705"/>
      <c r="CR64" s="705"/>
      <c r="CS64" s="705"/>
      <c r="CT64" s="705"/>
      <c r="CU64" s="705"/>
      <c r="CV64" s="705"/>
      <c r="CW64" s="705"/>
      <c r="CX64" s="705"/>
      <c r="CY64" s="705"/>
      <c r="CZ64" s="705"/>
      <c r="DA64" s="705"/>
      <c r="DB64" s="705"/>
      <c r="DC64" s="705"/>
      <c r="DD64" s="705"/>
      <c r="DE64" s="705"/>
      <c r="DF64" s="705"/>
      <c r="DG64" s="705"/>
      <c r="DH64" s="705"/>
      <c r="DI64" s="705"/>
      <c r="DJ64" s="705"/>
      <c r="DK64" s="705"/>
      <c r="DL64" s="705"/>
      <c r="DM64" s="705"/>
      <c r="DN64" s="705"/>
      <c r="DO64" s="705"/>
      <c r="DP64" s="705"/>
      <c r="DQ64" s="705"/>
      <c r="DR64" s="705"/>
      <c r="DS64" s="705"/>
      <c r="DT64" s="705"/>
      <c r="DU64" s="705"/>
      <c r="DV64" s="705"/>
      <c r="DW64" s="705"/>
      <c r="DX64" s="705"/>
      <c r="DY64" s="705"/>
      <c r="DZ64" s="705"/>
      <c r="EA64" s="705"/>
      <c r="EB64" s="705"/>
      <c r="EC64" s="705"/>
      <c r="ED64" s="705"/>
      <c r="EE64" s="705"/>
      <c r="EF64" s="705"/>
      <c r="EG64" s="705"/>
      <c r="EH64" s="705"/>
      <c r="EI64" s="705"/>
      <c r="EJ64" s="705"/>
      <c r="EK64" s="705"/>
      <c r="EL64" s="705"/>
      <c r="EM64" s="705"/>
      <c r="EN64" s="705"/>
      <c r="EO64" s="705"/>
      <c r="EP64" s="705"/>
      <c r="EQ64" s="705"/>
      <c r="ER64" s="705"/>
      <c r="ES64" s="705"/>
      <c r="ET64" s="705"/>
      <c r="EU64" s="705"/>
      <c r="EV64" s="705"/>
      <c r="EW64" s="705"/>
      <c r="EX64" s="705"/>
      <c r="EY64" s="705"/>
      <c r="EZ64" s="705"/>
      <c r="FA64" s="705"/>
      <c r="FB64" s="705"/>
      <c r="FC64" s="705"/>
      <c r="FD64" s="705"/>
      <c r="FE64" s="705"/>
      <c r="FF64" s="705"/>
      <c r="FG64" s="705"/>
      <c r="FH64" s="705"/>
      <c r="FI64" s="705"/>
      <c r="FJ64" s="705"/>
      <c r="FK64" s="705"/>
      <c r="FL64" s="705"/>
      <c r="FM64" s="705"/>
      <c r="FN64" s="705"/>
      <c r="FO64" s="705"/>
      <c r="FP64" s="705"/>
      <c r="FQ64" s="705"/>
      <c r="FR64" s="705"/>
      <c r="FS64" s="705"/>
      <c r="FT64" s="705"/>
      <c r="FU64" s="705"/>
      <c r="FV64" s="705"/>
      <c r="FW64" s="705"/>
      <c r="FX64" s="705"/>
      <c r="FY64" s="705"/>
      <c r="FZ64" s="705"/>
      <c r="GA64" s="705"/>
      <c r="GB64" s="705"/>
      <c r="GC64" s="705"/>
      <c r="GD64" s="705"/>
      <c r="GE64" s="705"/>
      <c r="GF64" s="705"/>
      <c r="GG64" s="705"/>
      <c r="GH64" s="705"/>
      <c r="GI64" s="705"/>
      <c r="GJ64" s="705"/>
      <c r="GK64" s="705"/>
      <c r="GL64" s="705"/>
      <c r="GM64" s="705"/>
      <c r="GN64" s="705"/>
      <c r="GO64" s="705"/>
      <c r="GP64" s="705"/>
      <c r="GQ64" s="705"/>
      <c r="GR64" s="705"/>
      <c r="GS64" s="705"/>
      <c r="GT64" s="705"/>
      <c r="GU64" s="705"/>
      <c r="GV64" s="705"/>
      <c r="GW64" s="705"/>
      <c r="GX64" s="705"/>
      <c r="GY64" s="705"/>
      <c r="GZ64" s="705"/>
      <c r="HA64" s="705"/>
      <c r="HB64" s="705"/>
      <c r="HC64" s="705"/>
      <c r="HD64" s="705"/>
      <c r="HE64" s="705"/>
      <c r="HF64" s="705"/>
      <c r="HG64" s="705"/>
      <c r="HH64" s="705"/>
      <c r="HI64" s="705"/>
      <c r="HJ64" s="705"/>
      <c r="HK64" s="705"/>
      <c r="HL64" s="705"/>
      <c r="HM64" s="705"/>
      <c r="HN64" s="705"/>
      <c r="HO64" s="705"/>
      <c r="HP64" s="705"/>
      <c r="HQ64" s="705"/>
      <c r="HR64" s="705"/>
      <c r="HS64" s="705"/>
      <c r="HT64" s="705"/>
      <c r="HU64" s="705"/>
      <c r="HV64" s="705"/>
      <c r="HW64" s="705"/>
    </row>
    <row r="65" spans="1:231" ht="14.1" customHeight="1">
      <c r="A65" s="705"/>
      <c r="B65" s="732"/>
      <c r="C65" s="732"/>
      <c r="E65" s="753"/>
      <c r="F65" s="705"/>
      <c r="G65" s="705"/>
      <c r="H65" s="705"/>
      <c r="I65" s="705"/>
      <c r="K65" s="724"/>
      <c r="L65" s="704"/>
      <c r="M65" s="704"/>
      <c r="N65" s="704"/>
      <c r="O65" s="704"/>
      <c r="P65" s="704"/>
      <c r="Q65" s="704"/>
      <c r="R65" s="704"/>
      <c r="S65" s="704"/>
      <c r="T65" s="704"/>
      <c r="U65" s="704"/>
      <c r="V65" s="704"/>
      <c r="W65" s="704"/>
      <c r="X65" s="705"/>
      <c r="Y65" s="705"/>
      <c r="Z65" s="705"/>
      <c r="AA65" s="705"/>
      <c r="AB65" s="705"/>
      <c r="AC65" s="705"/>
      <c r="AD65" s="705"/>
      <c r="AE65" s="705"/>
      <c r="AF65" s="705"/>
      <c r="AG65" s="705"/>
      <c r="AH65" s="705"/>
      <c r="AI65" s="705"/>
      <c r="AJ65" s="705"/>
      <c r="AK65" s="705"/>
      <c r="AL65" s="705"/>
      <c r="AM65" s="705"/>
      <c r="AN65" s="705"/>
      <c r="AO65" s="705"/>
      <c r="AP65" s="705"/>
      <c r="AQ65" s="705"/>
      <c r="AR65" s="705"/>
      <c r="AS65" s="705"/>
      <c r="AT65" s="705"/>
      <c r="AU65" s="705"/>
      <c r="AV65" s="705"/>
      <c r="AW65" s="705"/>
      <c r="AX65" s="705"/>
      <c r="AY65" s="705"/>
      <c r="AZ65" s="705"/>
      <c r="BA65" s="705"/>
      <c r="BB65" s="705"/>
      <c r="BC65" s="705"/>
      <c r="BD65" s="705"/>
      <c r="BE65" s="705"/>
      <c r="BF65" s="705"/>
      <c r="BG65" s="705"/>
      <c r="BH65" s="705"/>
      <c r="BI65" s="705"/>
      <c r="BJ65" s="705"/>
      <c r="BK65" s="705"/>
      <c r="BL65" s="705"/>
      <c r="BM65" s="705"/>
      <c r="BN65" s="705"/>
      <c r="BO65" s="705"/>
      <c r="BP65" s="705"/>
      <c r="BQ65" s="705"/>
      <c r="BR65" s="705"/>
      <c r="BS65" s="705"/>
      <c r="BT65" s="705"/>
      <c r="BU65" s="705"/>
      <c r="BV65" s="705"/>
      <c r="BW65" s="705"/>
      <c r="BX65" s="705"/>
      <c r="BY65" s="705"/>
      <c r="BZ65" s="705"/>
      <c r="CA65" s="705"/>
      <c r="CB65" s="705"/>
      <c r="CC65" s="705"/>
      <c r="CD65" s="705"/>
      <c r="CE65" s="705"/>
      <c r="CF65" s="705"/>
      <c r="CG65" s="705"/>
      <c r="CH65" s="705"/>
      <c r="CI65" s="705"/>
      <c r="CJ65" s="705"/>
      <c r="CK65" s="705"/>
      <c r="CL65" s="705"/>
      <c r="CM65" s="705"/>
      <c r="CN65" s="705"/>
      <c r="CO65" s="705"/>
      <c r="CP65" s="705"/>
      <c r="CQ65" s="705"/>
      <c r="CR65" s="705"/>
      <c r="CS65" s="705"/>
      <c r="CT65" s="705"/>
      <c r="CU65" s="705"/>
      <c r="CV65" s="705"/>
      <c r="CW65" s="705"/>
      <c r="CX65" s="705"/>
      <c r="CY65" s="705"/>
      <c r="CZ65" s="705"/>
      <c r="DA65" s="705"/>
      <c r="DB65" s="705"/>
      <c r="DC65" s="705"/>
      <c r="DD65" s="705"/>
      <c r="DE65" s="705"/>
      <c r="DF65" s="705"/>
      <c r="DG65" s="705"/>
      <c r="DH65" s="705"/>
      <c r="DI65" s="705"/>
      <c r="DJ65" s="705"/>
      <c r="DK65" s="705"/>
      <c r="DL65" s="705"/>
      <c r="DM65" s="705"/>
      <c r="DN65" s="705"/>
      <c r="DO65" s="705"/>
      <c r="DP65" s="705"/>
      <c r="DQ65" s="705"/>
      <c r="DR65" s="705"/>
      <c r="DS65" s="705"/>
      <c r="DT65" s="705"/>
      <c r="DU65" s="705"/>
      <c r="DV65" s="705"/>
      <c r="DW65" s="705"/>
      <c r="DX65" s="705"/>
      <c r="DY65" s="705"/>
      <c r="DZ65" s="705"/>
      <c r="EA65" s="705"/>
      <c r="EB65" s="705"/>
      <c r="EC65" s="705"/>
      <c r="ED65" s="705"/>
      <c r="EE65" s="705"/>
      <c r="EF65" s="705"/>
      <c r="EG65" s="705"/>
      <c r="EH65" s="705"/>
      <c r="EI65" s="705"/>
      <c r="EJ65" s="705"/>
      <c r="EK65" s="705"/>
      <c r="EL65" s="705"/>
      <c r="EM65" s="705"/>
      <c r="EN65" s="705"/>
      <c r="EO65" s="705"/>
      <c r="EP65" s="705"/>
      <c r="EQ65" s="705"/>
      <c r="ER65" s="705"/>
      <c r="ES65" s="705"/>
      <c r="ET65" s="705"/>
      <c r="EU65" s="705"/>
      <c r="EV65" s="705"/>
      <c r="EW65" s="705"/>
      <c r="EX65" s="705"/>
      <c r="EY65" s="705"/>
      <c r="EZ65" s="705"/>
      <c r="FA65" s="705"/>
      <c r="FB65" s="705"/>
      <c r="FC65" s="705"/>
      <c r="FD65" s="705"/>
      <c r="FE65" s="705"/>
      <c r="FF65" s="705"/>
      <c r="FG65" s="705"/>
      <c r="FH65" s="705"/>
      <c r="FI65" s="705"/>
      <c r="FJ65" s="705"/>
      <c r="FK65" s="705"/>
      <c r="FL65" s="705"/>
      <c r="FM65" s="705"/>
      <c r="FN65" s="705"/>
      <c r="FO65" s="705"/>
      <c r="FP65" s="705"/>
      <c r="FQ65" s="705"/>
      <c r="FR65" s="705"/>
      <c r="FS65" s="705"/>
      <c r="FT65" s="705"/>
      <c r="FU65" s="705"/>
      <c r="FV65" s="705"/>
      <c r="FW65" s="705"/>
      <c r="FX65" s="705"/>
      <c r="FY65" s="705"/>
      <c r="FZ65" s="705"/>
      <c r="GA65" s="705"/>
      <c r="GB65" s="705"/>
      <c r="GC65" s="705"/>
      <c r="GD65" s="705"/>
      <c r="GE65" s="705"/>
      <c r="GF65" s="705"/>
      <c r="GG65" s="705"/>
      <c r="GH65" s="705"/>
      <c r="GI65" s="705"/>
      <c r="GJ65" s="705"/>
      <c r="GK65" s="705"/>
      <c r="GL65" s="705"/>
      <c r="GM65" s="705"/>
      <c r="GN65" s="705"/>
      <c r="GO65" s="705"/>
      <c r="GP65" s="705"/>
      <c r="GQ65" s="705"/>
      <c r="GR65" s="705"/>
      <c r="GS65" s="705"/>
      <c r="GT65" s="705"/>
      <c r="GU65" s="705"/>
      <c r="GV65" s="705"/>
      <c r="GW65" s="705"/>
      <c r="GX65" s="705"/>
      <c r="GY65" s="705"/>
      <c r="GZ65" s="705"/>
      <c r="HA65" s="705"/>
      <c r="HB65" s="705"/>
      <c r="HC65" s="705"/>
      <c r="HD65" s="705"/>
      <c r="HE65" s="705"/>
      <c r="HF65" s="705"/>
      <c r="HG65" s="705"/>
      <c r="HH65" s="705"/>
      <c r="HI65" s="705"/>
      <c r="HJ65" s="705"/>
      <c r="HK65" s="705"/>
      <c r="HL65" s="705"/>
      <c r="HM65" s="705"/>
      <c r="HN65" s="705"/>
      <c r="HO65" s="705"/>
      <c r="HP65" s="705"/>
      <c r="HQ65" s="705"/>
      <c r="HR65" s="705"/>
      <c r="HS65" s="705"/>
      <c r="HT65" s="705"/>
      <c r="HU65" s="705"/>
      <c r="HV65" s="705"/>
      <c r="HW65" s="705"/>
    </row>
    <row r="66" spans="1:231" ht="14.1" customHeight="1">
      <c r="A66" s="705"/>
      <c r="B66" s="732"/>
      <c r="C66" s="732"/>
      <c r="E66" s="753"/>
      <c r="F66" s="705"/>
      <c r="G66" s="705"/>
      <c r="H66" s="705"/>
      <c r="I66" s="705"/>
      <c r="K66" s="724"/>
      <c r="L66" s="704"/>
      <c r="M66" s="704"/>
      <c r="N66" s="704"/>
      <c r="O66" s="704"/>
      <c r="P66" s="704"/>
      <c r="Q66" s="704"/>
      <c r="R66" s="704"/>
      <c r="S66" s="704"/>
      <c r="T66" s="704"/>
      <c r="U66" s="704"/>
      <c r="V66" s="704"/>
      <c r="W66" s="704"/>
      <c r="X66" s="705"/>
      <c r="Y66" s="705"/>
      <c r="Z66" s="705"/>
      <c r="AA66" s="705"/>
      <c r="AB66" s="705"/>
      <c r="AC66" s="705"/>
      <c r="AD66" s="705"/>
      <c r="AE66" s="705"/>
      <c r="AF66" s="705"/>
      <c r="AG66" s="705"/>
      <c r="AH66" s="705"/>
      <c r="AI66" s="705"/>
      <c r="AJ66" s="705"/>
      <c r="AK66" s="705"/>
      <c r="AL66" s="705"/>
      <c r="AM66" s="705"/>
      <c r="AN66" s="705"/>
      <c r="AO66" s="705"/>
      <c r="AP66" s="705"/>
      <c r="AQ66" s="705"/>
      <c r="AR66" s="705"/>
      <c r="AS66" s="705"/>
      <c r="AT66" s="705"/>
      <c r="AU66" s="705"/>
      <c r="AV66" s="705"/>
      <c r="AW66" s="705"/>
      <c r="AX66" s="705"/>
      <c r="AY66" s="705"/>
      <c r="AZ66" s="705"/>
      <c r="BA66" s="705"/>
      <c r="BB66" s="705"/>
      <c r="BC66" s="705"/>
      <c r="BD66" s="705"/>
      <c r="BE66" s="705"/>
      <c r="BF66" s="705"/>
      <c r="BG66" s="705"/>
      <c r="BH66" s="705"/>
      <c r="BI66" s="705"/>
      <c r="BJ66" s="705"/>
      <c r="BK66" s="705"/>
      <c r="BL66" s="705"/>
      <c r="BM66" s="705"/>
      <c r="BN66" s="705"/>
      <c r="BO66" s="705"/>
      <c r="BP66" s="705"/>
      <c r="BQ66" s="705"/>
      <c r="BR66" s="705"/>
      <c r="BS66" s="705"/>
      <c r="BT66" s="705"/>
      <c r="BU66" s="705"/>
      <c r="BV66" s="705"/>
      <c r="BW66" s="705"/>
      <c r="BX66" s="705"/>
      <c r="BY66" s="705"/>
      <c r="BZ66" s="705"/>
      <c r="CA66" s="705"/>
      <c r="CB66" s="705"/>
      <c r="CC66" s="705"/>
      <c r="CD66" s="705"/>
      <c r="CE66" s="705"/>
      <c r="CF66" s="705"/>
      <c r="CG66" s="705"/>
      <c r="CH66" s="705"/>
      <c r="CI66" s="705"/>
      <c r="CJ66" s="705"/>
      <c r="CK66" s="705"/>
      <c r="CL66" s="705"/>
      <c r="CM66" s="705"/>
      <c r="CN66" s="705"/>
      <c r="CO66" s="705"/>
      <c r="CP66" s="705"/>
      <c r="CQ66" s="705"/>
      <c r="CR66" s="705"/>
      <c r="CS66" s="705"/>
      <c r="CT66" s="705"/>
      <c r="CU66" s="705"/>
      <c r="CV66" s="705"/>
      <c r="CW66" s="705"/>
      <c r="CX66" s="705"/>
      <c r="CY66" s="705"/>
      <c r="CZ66" s="705"/>
      <c r="DA66" s="705"/>
      <c r="DB66" s="705"/>
      <c r="DC66" s="705"/>
      <c r="DD66" s="705"/>
      <c r="DE66" s="705"/>
      <c r="DF66" s="705"/>
      <c r="DG66" s="705"/>
      <c r="DH66" s="705"/>
      <c r="DI66" s="705"/>
      <c r="DJ66" s="705"/>
      <c r="DK66" s="705"/>
      <c r="DL66" s="705"/>
      <c r="DM66" s="705"/>
      <c r="DN66" s="705"/>
      <c r="DO66" s="705"/>
      <c r="DP66" s="705"/>
      <c r="DQ66" s="705"/>
      <c r="DR66" s="705"/>
      <c r="DS66" s="705"/>
      <c r="DT66" s="705"/>
      <c r="DU66" s="705"/>
      <c r="DV66" s="705"/>
      <c r="DW66" s="705"/>
      <c r="DX66" s="705"/>
      <c r="DY66" s="705"/>
      <c r="DZ66" s="705"/>
      <c r="EA66" s="705"/>
      <c r="EB66" s="705"/>
      <c r="EC66" s="705"/>
      <c r="ED66" s="705"/>
      <c r="EE66" s="705"/>
      <c r="EF66" s="705"/>
      <c r="EG66" s="705"/>
      <c r="EH66" s="705"/>
      <c r="EI66" s="705"/>
      <c r="EJ66" s="705"/>
      <c r="EK66" s="705"/>
      <c r="EL66" s="705"/>
      <c r="EM66" s="705"/>
      <c r="EN66" s="705"/>
      <c r="EO66" s="705"/>
      <c r="EP66" s="705"/>
      <c r="EQ66" s="705"/>
      <c r="ER66" s="705"/>
      <c r="ES66" s="705"/>
      <c r="ET66" s="705"/>
      <c r="EU66" s="705"/>
      <c r="EV66" s="705"/>
      <c r="EW66" s="705"/>
      <c r="EX66" s="705"/>
      <c r="EY66" s="705"/>
      <c r="EZ66" s="705"/>
      <c r="FA66" s="705"/>
      <c r="FB66" s="705"/>
      <c r="FC66" s="705"/>
      <c r="FD66" s="705"/>
      <c r="FE66" s="705"/>
      <c r="FF66" s="705"/>
      <c r="FG66" s="705"/>
      <c r="FH66" s="705"/>
      <c r="FI66" s="705"/>
      <c r="FJ66" s="705"/>
      <c r="FK66" s="705"/>
      <c r="FL66" s="705"/>
      <c r="FM66" s="705"/>
      <c r="FN66" s="705"/>
      <c r="FO66" s="705"/>
      <c r="FP66" s="705"/>
      <c r="FQ66" s="705"/>
      <c r="FR66" s="705"/>
      <c r="FS66" s="705"/>
      <c r="FT66" s="705"/>
      <c r="FU66" s="705"/>
      <c r="FV66" s="705"/>
      <c r="FW66" s="705"/>
      <c r="FX66" s="705"/>
      <c r="FY66" s="705"/>
      <c r="FZ66" s="705"/>
      <c r="GA66" s="705"/>
      <c r="GB66" s="705"/>
      <c r="GC66" s="705"/>
      <c r="GD66" s="705"/>
      <c r="GE66" s="705"/>
      <c r="GF66" s="705"/>
      <c r="GG66" s="705"/>
      <c r="GH66" s="705"/>
      <c r="GI66" s="705"/>
      <c r="GJ66" s="705"/>
      <c r="GK66" s="705"/>
      <c r="GL66" s="705"/>
      <c r="GM66" s="705"/>
      <c r="GN66" s="705"/>
      <c r="GO66" s="705"/>
      <c r="GP66" s="705"/>
      <c r="GQ66" s="705"/>
      <c r="GR66" s="705"/>
      <c r="GS66" s="705"/>
      <c r="GT66" s="705"/>
      <c r="GU66" s="705"/>
      <c r="GV66" s="705"/>
      <c r="GW66" s="705"/>
      <c r="GX66" s="705"/>
      <c r="GY66" s="705"/>
      <c r="GZ66" s="705"/>
      <c r="HA66" s="705"/>
      <c r="HB66" s="705"/>
      <c r="HC66" s="705"/>
      <c r="HD66" s="705"/>
      <c r="HE66" s="705"/>
      <c r="HF66" s="705"/>
      <c r="HG66" s="705"/>
      <c r="HH66" s="705"/>
      <c r="HI66" s="705"/>
      <c r="HJ66" s="705"/>
      <c r="HK66" s="705"/>
      <c r="HL66" s="705"/>
      <c r="HM66" s="705"/>
      <c r="HN66" s="705"/>
      <c r="HO66" s="705"/>
      <c r="HP66" s="705"/>
      <c r="HQ66" s="705"/>
      <c r="HR66" s="705"/>
      <c r="HS66" s="705"/>
      <c r="HT66" s="705"/>
      <c r="HU66" s="705"/>
      <c r="HV66" s="705"/>
      <c r="HW66" s="705"/>
    </row>
    <row r="67" spans="1:231" ht="14.1" customHeight="1">
      <c r="A67" s="705"/>
      <c r="B67" s="732"/>
      <c r="C67" s="732"/>
      <c r="E67" s="753"/>
      <c r="F67" s="705"/>
      <c r="G67" s="705"/>
      <c r="H67" s="705"/>
      <c r="I67" s="705"/>
      <c r="K67" s="724"/>
      <c r="L67" s="704"/>
      <c r="M67" s="704"/>
      <c r="N67" s="704"/>
      <c r="O67" s="704"/>
      <c r="P67" s="704"/>
      <c r="Q67" s="704"/>
      <c r="R67" s="704"/>
      <c r="S67" s="704"/>
      <c r="T67" s="704"/>
      <c r="U67" s="704"/>
      <c r="V67" s="704"/>
      <c r="W67" s="704"/>
      <c r="X67" s="705"/>
      <c r="Y67" s="705"/>
      <c r="Z67" s="705"/>
      <c r="AA67" s="705"/>
      <c r="AB67" s="705"/>
      <c r="AC67" s="705"/>
      <c r="AD67" s="705"/>
      <c r="AE67" s="705"/>
      <c r="AF67" s="705"/>
      <c r="AG67" s="705"/>
      <c r="AH67" s="705"/>
      <c r="AI67" s="705"/>
      <c r="AJ67" s="705"/>
      <c r="AK67" s="705"/>
      <c r="AL67" s="705"/>
      <c r="AM67" s="705"/>
      <c r="AN67" s="705"/>
      <c r="AO67" s="705"/>
      <c r="AP67" s="705"/>
      <c r="AQ67" s="705"/>
      <c r="AR67" s="705"/>
      <c r="AS67" s="705"/>
      <c r="AT67" s="705"/>
      <c r="AU67" s="705"/>
      <c r="AV67" s="705"/>
      <c r="AW67" s="705"/>
      <c r="AX67" s="705"/>
      <c r="AY67" s="705"/>
      <c r="AZ67" s="705"/>
      <c r="BA67" s="705"/>
      <c r="BB67" s="705"/>
      <c r="BC67" s="705"/>
      <c r="BD67" s="705"/>
      <c r="BE67" s="705"/>
      <c r="BF67" s="705"/>
      <c r="BG67" s="705"/>
      <c r="BH67" s="705"/>
      <c r="BI67" s="705"/>
      <c r="BJ67" s="705"/>
      <c r="BK67" s="705"/>
      <c r="BL67" s="705"/>
      <c r="BM67" s="705"/>
      <c r="BN67" s="705"/>
      <c r="BO67" s="705"/>
      <c r="BP67" s="705"/>
      <c r="BQ67" s="705"/>
      <c r="BR67" s="705"/>
      <c r="BS67" s="705"/>
      <c r="BT67" s="705"/>
      <c r="BU67" s="705"/>
      <c r="BV67" s="705"/>
      <c r="BW67" s="705"/>
      <c r="BX67" s="705"/>
      <c r="BY67" s="705"/>
      <c r="BZ67" s="705"/>
      <c r="CA67" s="705"/>
      <c r="CB67" s="705"/>
      <c r="CC67" s="705"/>
      <c r="CD67" s="705"/>
      <c r="CE67" s="705"/>
      <c r="CF67" s="705"/>
      <c r="CG67" s="705"/>
      <c r="CH67" s="705"/>
      <c r="CI67" s="705"/>
      <c r="CJ67" s="705"/>
      <c r="CK67" s="705"/>
      <c r="CL67" s="705"/>
      <c r="CM67" s="705"/>
      <c r="CN67" s="705"/>
      <c r="CO67" s="705"/>
      <c r="CP67" s="705"/>
      <c r="CQ67" s="705"/>
      <c r="CR67" s="705"/>
      <c r="CS67" s="705"/>
      <c r="CT67" s="705"/>
      <c r="CU67" s="705"/>
      <c r="CV67" s="705"/>
      <c r="CW67" s="705"/>
      <c r="CX67" s="705"/>
      <c r="CY67" s="705"/>
      <c r="CZ67" s="705"/>
      <c r="DA67" s="705"/>
      <c r="DB67" s="705"/>
      <c r="DC67" s="705"/>
      <c r="DD67" s="705"/>
      <c r="DE67" s="705"/>
      <c r="DF67" s="705"/>
      <c r="DG67" s="705"/>
      <c r="DH67" s="705"/>
      <c r="DI67" s="705"/>
      <c r="DJ67" s="705"/>
      <c r="DK67" s="705"/>
      <c r="DL67" s="705"/>
      <c r="DM67" s="705"/>
      <c r="DN67" s="705"/>
      <c r="DO67" s="705"/>
      <c r="DP67" s="705"/>
      <c r="DQ67" s="705"/>
      <c r="DR67" s="705"/>
      <c r="DS67" s="705"/>
      <c r="DT67" s="705"/>
      <c r="DU67" s="705"/>
      <c r="DV67" s="705"/>
      <c r="DW67" s="705"/>
      <c r="DX67" s="705"/>
      <c r="DY67" s="705"/>
      <c r="DZ67" s="705"/>
      <c r="EA67" s="705"/>
      <c r="EB67" s="705"/>
      <c r="EC67" s="705"/>
      <c r="ED67" s="705"/>
      <c r="EE67" s="705"/>
      <c r="EF67" s="705"/>
      <c r="EG67" s="705"/>
      <c r="EH67" s="705"/>
      <c r="EI67" s="705"/>
      <c r="EJ67" s="705"/>
      <c r="EK67" s="705"/>
      <c r="EL67" s="705"/>
      <c r="EM67" s="705"/>
      <c r="EN67" s="705"/>
      <c r="EO67" s="705"/>
      <c r="EP67" s="705"/>
      <c r="EQ67" s="705"/>
      <c r="ER67" s="705"/>
      <c r="ES67" s="705"/>
      <c r="ET67" s="705"/>
      <c r="EU67" s="705"/>
      <c r="EV67" s="705"/>
      <c r="EW67" s="705"/>
      <c r="EX67" s="705"/>
      <c r="EY67" s="705"/>
      <c r="EZ67" s="705"/>
      <c r="FA67" s="705"/>
      <c r="FB67" s="705"/>
      <c r="FC67" s="705"/>
      <c r="FD67" s="705"/>
      <c r="FE67" s="705"/>
      <c r="FF67" s="705"/>
      <c r="FG67" s="705"/>
      <c r="FH67" s="705"/>
      <c r="FI67" s="705"/>
      <c r="FJ67" s="705"/>
      <c r="FK67" s="705"/>
      <c r="FL67" s="705"/>
      <c r="FM67" s="705"/>
      <c r="FN67" s="705"/>
      <c r="FO67" s="705"/>
      <c r="FP67" s="705"/>
      <c r="FQ67" s="705"/>
      <c r="FR67" s="705"/>
      <c r="FS67" s="705"/>
      <c r="FT67" s="705"/>
      <c r="FU67" s="705"/>
      <c r="FV67" s="705"/>
      <c r="FW67" s="705"/>
      <c r="FX67" s="705"/>
      <c r="FY67" s="705"/>
      <c r="FZ67" s="705"/>
      <c r="GA67" s="705"/>
      <c r="GB67" s="705"/>
      <c r="GC67" s="705"/>
      <c r="GD67" s="705"/>
      <c r="GE67" s="705"/>
      <c r="GF67" s="705"/>
      <c r="GG67" s="705"/>
      <c r="GH67" s="705"/>
      <c r="GI67" s="705"/>
      <c r="GJ67" s="705"/>
      <c r="GK67" s="705"/>
      <c r="GL67" s="705"/>
      <c r="GM67" s="705"/>
      <c r="GN67" s="705"/>
      <c r="GO67" s="705"/>
      <c r="GP67" s="705"/>
      <c r="GQ67" s="705"/>
      <c r="GR67" s="705"/>
      <c r="GS67" s="705"/>
      <c r="GT67" s="705"/>
      <c r="GU67" s="705"/>
      <c r="GV67" s="705"/>
      <c r="GW67" s="705"/>
      <c r="GX67" s="705"/>
      <c r="GY67" s="705"/>
      <c r="GZ67" s="705"/>
      <c r="HA67" s="705"/>
      <c r="HB67" s="705"/>
      <c r="HC67" s="705"/>
      <c r="HD67" s="705"/>
      <c r="HE67" s="705"/>
      <c r="HF67" s="705"/>
      <c r="HG67" s="705"/>
      <c r="HH67" s="705"/>
      <c r="HI67" s="705"/>
      <c r="HJ67" s="705"/>
      <c r="HK67" s="705"/>
      <c r="HL67" s="705"/>
      <c r="HM67" s="705"/>
      <c r="HN67" s="705"/>
      <c r="HO67" s="705"/>
      <c r="HP67" s="705"/>
      <c r="HQ67" s="705"/>
      <c r="HR67" s="705"/>
      <c r="HS67" s="705"/>
      <c r="HT67" s="705"/>
      <c r="HU67" s="705"/>
      <c r="HV67" s="705"/>
      <c r="HW67" s="705"/>
    </row>
    <row r="68" spans="1:231" ht="14.1" customHeight="1">
      <c r="A68" s="705"/>
      <c r="B68" s="732"/>
      <c r="C68" s="732"/>
      <c r="E68" s="753"/>
      <c r="F68" s="705"/>
      <c r="G68" s="705"/>
      <c r="H68" s="705"/>
      <c r="I68" s="705"/>
      <c r="K68" s="724"/>
      <c r="L68" s="704"/>
      <c r="M68" s="704"/>
      <c r="N68" s="704"/>
      <c r="O68" s="704"/>
      <c r="P68" s="704"/>
      <c r="Q68" s="704"/>
      <c r="R68" s="704"/>
      <c r="S68" s="704"/>
      <c r="T68" s="704"/>
      <c r="U68" s="704"/>
      <c r="V68" s="704"/>
      <c r="W68" s="704"/>
      <c r="X68" s="705"/>
      <c r="Y68" s="705"/>
      <c r="Z68" s="705"/>
      <c r="AA68" s="705"/>
      <c r="AB68" s="705"/>
      <c r="AC68" s="705"/>
      <c r="AD68" s="705"/>
      <c r="AE68" s="705"/>
      <c r="AF68" s="705"/>
      <c r="AG68" s="705"/>
      <c r="AH68" s="705"/>
      <c r="AI68" s="705"/>
      <c r="AJ68" s="705"/>
      <c r="AK68" s="705"/>
      <c r="AL68" s="705"/>
      <c r="AM68" s="705"/>
      <c r="AN68" s="705"/>
      <c r="AO68" s="705"/>
      <c r="AP68" s="705"/>
      <c r="AQ68" s="705"/>
      <c r="AR68" s="705"/>
      <c r="AS68" s="705"/>
      <c r="AT68" s="705"/>
      <c r="AU68" s="705"/>
      <c r="AV68" s="705"/>
      <c r="AW68" s="705"/>
      <c r="AX68" s="705"/>
      <c r="AY68" s="705"/>
      <c r="AZ68" s="705"/>
      <c r="BA68" s="705"/>
      <c r="BB68" s="705"/>
      <c r="BC68" s="705"/>
      <c r="BD68" s="705"/>
      <c r="BE68" s="705"/>
      <c r="BF68" s="705"/>
      <c r="BG68" s="705"/>
      <c r="BH68" s="705"/>
      <c r="BI68" s="705"/>
      <c r="BJ68" s="705"/>
      <c r="BK68" s="705"/>
      <c r="BL68" s="705"/>
      <c r="BM68" s="705"/>
      <c r="BN68" s="705"/>
      <c r="BO68" s="705"/>
      <c r="BP68" s="705"/>
      <c r="BQ68" s="705"/>
      <c r="BR68" s="705"/>
      <c r="BS68" s="705"/>
      <c r="BT68" s="705"/>
      <c r="BU68" s="705"/>
      <c r="BV68" s="705"/>
      <c r="BW68" s="705"/>
      <c r="BX68" s="705"/>
      <c r="BY68" s="705"/>
      <c r="BZ68" s="705"/>
      <c r="CA68" s="705"/>
      <c r="CB68" s="705"/>
      <c r="CC68" s="705"/>
      <c r="CD68" s="705"/>
      <c r="CE68" s="705"/>
      <c r="CF68" s="705"/>
      <c r="CG68" s="705"/>
      <c r="CH68" s="705"/>
      <c r="CI68" s="705"/>
      <c r="CJ68" s="705"/>
      <c r="CK68" s="705"/>
      <c r="CL68" s="705"/>
      <c r="CM68" s="705"/>
      <c r="CN68" s="705"/>
      <c r="CO68" s="705"/>
      <c r="CP68" s="705"/>
      <c r="CQ68" s="705"/>
      <c r="CR68" s="705"/>
      <c r="CS68" s="705"/>
      <c r="CT68" s="705"/>
      <c r="CU68" s="705"/>
      <c r="CV68" s="705"/>
      <c r="CW68" s="705"/>
      <c r="CX68" s="705"/>
      <c r="CY68" s="705"/>
      <c r="CZ68" s="705"/>
      <c r="DA68" s="705"/>
      <c r="DB68" s="705"/>
      <c r="DC68" s="705"/>
      <c r="DD68" s="705"/>
      <c r="DE68" s="705"/>
      <c r="DF68" s="705"/>
      <c r="DG68" s="705"/>
      <c r="DH68" s="705"/>
      <c r="DI68" s="705"/>
      <c r="DJ68" s="705"/>
      <c r="DK68" s="705"/>
      <c r="DL68" s="705"/>
      <c r="DM68" s="705"/>
      <c r="DN68" s="705"/>
      <c r="DO68" s="705"/>
      <c r="DP68" s="705"/>
      <c r="DQ68" s="705"/>
      <c r="DR68" s="705"/>
      <c r="DS68" s="705"/>
      <c r="DT68" s="705"/>
      <c r="DU68" s="705"/>
      <c r="DV68" s="705"/>
      <c r="DW68" s="705"/>
      <c r="DX68" s="705"/>
      <c r="DY68" s="705"/>
      <c r="DZ68" s="705"/>
      <c r="EA68" s="705"/>
      <c r="EB68" s="705"/>
      <c r="EC68" s="705"/>
      <c r="ED68" s="705"/>
      <c r="EE68" s="705"/>
      <c r="EF68" s="705"/>
      <c r="EG68" s="705"/>
      <c r="EH68" s="705"/>
      <c r="EI68" s="705"/>
      <c r="EJ68" s="705"/>
      <c r="EK68" s="705"/>
      <c r="EL68" s="705"/>
      <c r="EM68" s="705"/>
      <c r="EN68" s="705"/>
      <c r="EO68" s="705"/>
      <c r="EP68" s="705"/>
      <c r="EQ68" s="705"/>
      <c r="ER68" s="705"/>
      <c r="ES68" s="705"/>
      <c r="ET68" s="705"/>
      <c r="EU68" s="705"/>
      <c r="EV68" s="705"/>
      <c r="EW68" s="705"/>
      <c r="EX68" s="705"/>
      <c r="EY68" s="705"/>
      <c r="EZ68" s="705"/>
      <c r="FA68" s="705"/>
      <c r="FB68" s="705"/>
      <c r="FC68" s="705"/>
      <c r="FD68" s="705"/>
      <c r="FE68" s="705"/>
      <c r="FF68" s="705"/>
      <c r="FG68" s="705"/>
      <c r="FH68" s="705"/>
      <c r="FI68" s="705"/>
      <c r="FJ68" s="705"/>
      <c r="FK68" s="705"/>
      <c r="FL68" s="705"/>
      <c r="FM68" s="705"/>
      <c r="FN68" s="705"/>
      <c r="FO68" s="705"/>
      <c r="FP68" s="705"/>
      <c r="FQ68" s="705"/>
      <c r="FR68" s="705"/>
      <c r="FS68" s="705"/>
      <c r="FT68" s="705"/>
      <c r="FU68" s="705"/>
      <c r="FV68" s="705"/>
      <c r="FW68" s="705"/>
      <c r="FX68" s="705"/>
      <c r="FY68" s="705"/>
      <c r="FZ68" s="705"/>
      <c r="GA68" s="705"/>
      <c r="GB68" s="705"/>
      <c r="GC68" s="705"/>
      <c r="GD68" s="705"/>
      <c r="GE68" s="705"/>
      <c r="GF68" s="705"/>
      <c r="GG68" s="705"/>
      <c r="GH68" s="705"/>
      <c r="GI68" s="705"/>
      <c r="GJ68" s="705"/>
      <c r="GK68" s="705"/>
      <c r="GL68" s="705"/>
      <c r="GM68" s="705"/>
      <c r="GN68" s="705"/>
      <c r="GO68" s="705"/>
      <c r="GP68" s="705"/>
      <c r="GQ68" s="705"/>
      <c r="GR68" s="705"/>
      <c r="GS68" s="705"/>
      <c r="GT68" s="705"/>
      <c r="GU68" s="705"/>
      <c r="GV68" s="705"/>
      <c r="GW68" s="705"/>
      <c r="GX68" s="705"/>
      <c r="GY68" s="705"/>
      <c r="GZ68" s="705"/>
      <c r="HA68" s="705"/>
      <c r="HB68" s="705"/>
      <c r="HC68" s="705"/>
      <c r="HD68" s="705"/>
      <c r="HE68" s="705"/>
      <c r="HF68" s="705"/>
      <c r="HG68" s="705"/>
      <c r="HH68" s="705"/>
      <c r="HI68" s="705"/>
      <c r="HJ68" s="705"/>
      <c r="HK68" s="705"/>
      <c r="HL68" s="705"/>
      <c r="HM68" s="705"/>
      <c r="HN68" s="705"/>
      <c r="HO68" s="705"/>
      <c r="HP68" s="705"/>
      <c r="HQ68" s="705"/>
      <c r="HR68" s="705"/>
      <c r="HS68" s="705"/>
      <c r="HT68" s="705"/>
      <c r="HU68" s="705"/>
      <c r="HV68" s="705"/>
      <c r="HW68" s="705"/>
    </row>
    <row r="69" spans="1:231" ht="14.1" customHeight="1">
      <c r="A69" s="705"/>
      <c r="B69" s="732"/>
      <c r="C69" s="732"/>
      <c r="E69" s="753"/>
      <c r="F69" s="705"/>
      <c r="G69" s="705"/>
      <c r="H69" s="705"/>
      <c r="I69" s="705"/>
      <c r="K69" s="724"/>
      <c r="L69" s="704"/>
      <c r="M69" s="704"/>
      <c r="N69" s="704"/>
      <c r="O69" s="704"/>
      <c r="P69" s="704"/>
      <c r="Q69" s="704"/>
      <c r="R69" s="704"/>
      <c r="S69" s="704"/>
      <c r="T69" s="704"/>
      <c r="U69" s="704"/>
      <c r="V69" s="704"/>
      <c r="W69" s="704"/>
      <c r="X69" s="705"/>
      <c r="Y69" s="705"/>
      <c r="Z69" s="705"/>
      <c r="AA69" s="705"/>
      <c r="AB69" s="705"/>
      <c r="AC69" s="705"/>
      <c r="AD69" s="705"/>
      <c r="AE69" s="705"/>
      <c r="AF69" s="705"/>
      <c r="AG69" s="705"/>
      <c r="AH69" s="705"/>
      <c r="AI69" s="705"/>
      <c r="AJ69" s="705"/>
      <c r="AK69" s="705"/>
      <c r="AL69" s="705"/>
      <c r="AM69" s="705"/>
      <c r="AN69" s="705"/>
      <c r="AO69" s="705"/>
      <c r="AP69" s="705"/>
      <c r="AQ69" s="705"/>
      <c r="AR69" s="705"/>
      <c r="AS69" s="705"/>
      <c r="AT69" s="705"/>
      <c r="AU69" s="705"/>
      <c r="AV69" s="705"/>
      <c r="AW69" s="705"/>
      <c r="AX69" s="705"/>
      <c r="AY69" s="705"/>
      <c r="AZ69" s="705"/>
      <c r="BA69" s="705"/>
      <c r="BB69" s="705"/>
      <c r="BC69" s="705"/>
      <c r="BD69" s="705"/>
      <c r="BE69" s="705"/>
      <c r="BF69" s="705"/>
      <c r="BG69" s="705"/>
      <c r="BH69" s="705"/>
      <c r="BI69" s="705"/>
      <c r="BJ69" s="705"/>
      <c r="BK69" s="705"/>
      <c r="BL69" s="705"/>
      <c r="BM69" s="705"/>
      <c r="BN69" s="705"/>
      <c r="BO69" s="705"/>
      <c r="BP69" s="705"/>
      <c r="BQ69" s="705"/>
      <c r="BR69" s="705"/>
      <c r="BS69" s="705"/>
      <c r="BT69" s="705"/>
      <c r="BU69" s="705"/>
      <c r="BV69" s="705"/>
      <c r="BW69" s="705"/>
      <c r="BX69" s="705"/>
      <c r="BY69" s="705"/>
      <c r="BZ69" s="705"/>
      <c r="CA69" s="705"/>
      <c r="CB69" s="705"/>
      <c r="CC69" s="705"/>
      <c r="CD69" s="705"/>
      <c r="CE69" s="705"/>
      <c r="CF69" s="705"/>
      <c r="CG69" s="705"/>
      <c r="CH69" s="705"/>
      <c r="CI69" s="705"/>
      <c r="CJ69" s="705"/>
      <c r="CK69" s="705"/>
      <c r="CL69" s="705"/>
      <c r="CM69" s="705"/>
      <c r="CN69" s="705"/>
      <c r="CO69" s="705"/>
      <c r="CP69" s="705"/>
      <c r="CQ69" s="705"/>
      <c r="CR69" s="705"/>
      <c r="CS69" s="705"/>
      <c r="CT69" s="705"/>
      <c r="CU69" s="705"/>
      <c r="CV69" s="705"/>
      <c r="CW69" s="705"/>
      <c r="CX69" s="705"/>
      <c r="CY69" s="705"/>
      <c r="CZ69" s="705"/>
      <c r="DA69" s="705"/>
      <c r="DB69" s="705"/>
      <c r="DC69" s="705"/>
      <c r="DD69" s="705"/>
      <c r="DE69" s="705"/>
      <c r="DF69" s="705"/>
      <c r="DG69" s="705"/>
      <c r="DH69" s="705"/>
      <c r="DI69" s="705"/>
      <c r="DJ69" s="705"/>
      <c r="DK69" s="705"/>
      <c r="DL69" s="705"/>
      <c r="DM69" s="705"/>
      <c r="DN69" s="705"/>
      <c r="DO69" s="705"/>
      <c r="DP69" s="705"/>
      <c r="DQ69" s="705"/>
      <c r="DR69" s="705"/>
      <c r="DS69" s="705"/>
      <c r="DT69" s="705"/>
      <c r="DU69" s="705"/>
      <c r="DV69" s="705"/>
      <c r="DW69" s="705"/>
      <c r="DX69" s="705"/>
      <c r="DY69" s="705"/>
      <c r="DZ69" s="705"/>
      <c r="EA69" s="705"/>
      <c r="EB69" s="705"/>
      <c r="EC69" s="705"/>
      <c r="ED69" s="705"/>
      <c r="EE69" s="705"/>
      <c r="EF69" s="705"/>
      <c r="EG69" s="705"/>
      <c r="EH69" s="705"/>
      <c r="EI69" s="705"/>
      <c r="EJ69" s="705"/>
      <c r="EK69" s="705"/>
      <c r="EL69" s="705"/>
      <c r="EM69" s="705"/>
      <c r="EN69" s="705"/>
      <c r="EO69" s="705"/>
      <c r="EP69" s="705"/>
      <c r="EQ69" s="705"/>
      <c r="ER69" s="705"/>
      <c r="ES69" s="705"/>
      <c r="ET69" s="705"/>
      <c r="EU69" s="705"/>
      <c r="EV69" s="705"/>
      <c r="EW69" s="705"/>
      <c r="EX69" s="705"/>
      <c r="EY69" s="705"/>
      <c r="EZ69" s="705"/>
      <c r="FA69" s="705"/>
      <c r="FB69" s="705"/>
      <c r="FC69" s="705"/>
      <c r="FD69" s="705"/>
      <c r="FE69" s="705"/>
      <c r="FF69" s="705"/>
      <c r="FG69" s="705"/>
      <c r="FH69" s="705"/>
      <c r="FI69" s="705"/>
      <c r="FJ69" s="705"/>
      <c r="FK69" s="705"/>
      <c r="FL69" s="705"/>
      <c r="FM69" s="705"/>
      <c r="FN69" s="705"/>
      <c r="FO69" s="705"/>
      <c r="FP69" s="705"/>
      <c r="FQ69" s="705"/>
      <c r="FR69" s="705"/>
      <c r="FS69" s="705"/>
      <c r="FT69" s="705"/>
      <c r="FU69" s="705"/>
      <c r="FV69" s="705"/>
      <c r="FW69" s="705"/>
      <c r="FX69" s="705"/>
      <c r="FY69" s="705"/>
      <c r="FZ69" s="705"/>
      <c r="GA69" s="705"/>
      <c r="GB69" s="705"/>
      <c r="GC69" s="705"/>
      <c r="GD69" s="705"/>
      <c r="GE69" s="705"/>
      <c r="GF69" s="705"/>
      <c r="GG69" s="705"/>
      <c r="GH69" s="705"/>
      <c r="GI69" s="705"/>
      <c r="GJ69" s="705"/>
      <c r="GK69" s="705"/>
      <c r="GL69" s="705"/>
      <c r="GM69" s="705"/>
      <c r="GN69" s="705"/>
      <c r="GO69" s="705"/>
      <c r="GP69" s="705"/>
      <c r="GQ69" s="705"/>
      <c r="GR69" s="705"/>
      <c r="GS69" s="705"/>
      <c r="GT69" s="705"/>
      <c r="GU69" s="705"/>
      <c r="GV69" s="705"/>
      <c r="GW69" s="705"/>
      <c r="GX69" s="705"/>
      <c r="GY69" s="705"/>
      <c r="GZ69" s="705"/>
      <c r="HA69" s="705"/>
      <c r="HB69" s="705"/>
      <c r="HC69" s="705"/>
      <c r="HD69" s="705"/>
      <c r="HE69" s="705"/>
      <c r="HF69" s="705"/>
      <c r="HG69" s="705"/>
      <c r="HH69" s="705"/>
      <c r="HI69" s="705"/>
      <c r="HJ69" s="705"/>
      <c r="HK69" s="705"/>
      <c r="HL69" s="705"/>
      <c r="HM69" s="705"/>
      <c r="HN69" s="705"/>
      <c r="HO69" s="705"/>
      <c r="HP69" s="705"/>
      <c r="HQ69" s="705"/>
      <c r="HR69" s="705"/>
      <c r="HS69" s="705"/>
      <c r="HT69" s="705"/>
      <c r="HU69" s="705"/>
      <c r="HV69" s="705"/>
      <c r="HW69" s="705"/>
    </row>
    <row r="70" spans="1:231" ht="14.1" customHeight="1">
      <c r="A70" s="705"/>
      <c r="B70" s="732"/>
      <c r="C70" s="732"/>
      <c r="E70" s="753"/>
      <c r="F70" s="705"/>
      <c r="G70" s="705"/>
      <c r="H70" s="705"/>
      <c r="I70" s="705"/>
      <c r="K70" s="724"/>
      <c r="L70" s="704"/>
      <c r="M70" s="704"/>
      <c r="N70" s="704"/>
      <c r="O70" s="704"/>
      <c r="P70" s="704"/>
      <c r="Q70" s="704"/>
      <c r="R70" s="704"/>
      <c r="S70" s="704"/>
      <c r="T70" s="704"/>
      <c r="U70" s="704"/>
      <c r="V70" s="704"/>
      <c r="W70" s="704"/>
      <c r="X70" s="705"/>
      <c r="Y70" s="705"/>
      <c r="Z70" s="705"/>
      <c r="AA70" s="705"/>
      <c r="AB70" s="705"/>
      <c r="AC70" s="705"/>
      <c r="AD70" s="705"/>
      <c r="AE70" s="705"/>
      <c r="AF70" s="705"/>
      <c r="AG70" s="705"/>
      <c r="AH70" s="705"/>
      <c r="AI70" s="705"/>
      <c r="AJ70" s="705"/>
      <c r="AK70" s="705"/>
      <c r="AL70" s="705"/>
      <c r="AM70" s="705"/>
      <c r="AN70" s="705"/>
      <c r="AO70" s="705"/>
      <c r="AP70" s="705"/>
      <c r="AQ70" s="705"/>
      <c r="AR70" s="705"/>
      <c r="AS70" s="705"/>
      <c r="AT70" s="705"/>
      <c r="AU70" s="705"/>
      <c r="AV70" s="705"/>
      <c r="AW70" s="705"/>
      <c r="AX70" s="705"/>
      <c r="AY70" s="705"/>
      <c r="AZ70" s="705"/>
      <c r="BA70" s="705"/>
      <c r="BB70" s="705"/>
      <c r="BC70" s="705"/>
      <c r="BD70" s="705"/>
      <c r="BE70" s="705"/>
      <c r="BF70" s="705"/>
      <c r="BG70" s="705"/>
      <c r="BH70" s="705"/>
      <c r="BI70" s="705"/>
      <c r="BJ70" s="705"/>
      <c r="BK70" s="705"/>
      <c r="BL70" s="705"/>
      <c r="BM70" s="705"/>
      <c r="BN70" s="705"/>
      <c r="BO70" s="705"/>
      <c r="BP70" s="705"/>
      <c r="BQ70" s="705"/>
      <c r="BR70" s="705"/>
      <c r="BS70" s="705"/>
      <c r="BT70" s="705"/>
      <c r="BU70" s="705"/>
      <c r="BV70" s="705"/>
      <c r="BW70" s="705"/>
      <c r="BX70" s="705"/>
      <c r="BY70" s="705"/>
      <c r="BZ70" s="705"/>
      <c r="CA70" s="705"/>
      <c r="CB70" s="705"/>
      <c r="CC70" s="705"/>
      <c r="CD70" s="705"/>
      <c r="CE70" s="705"/>
      <c r="CF70" s="705"/>
      <c r="CG70" s="705"/>
      <c r="CH70" s="705"/>
      <c r="CI70" s="705"/>
      <c r="CJ70" s="705"/>
      <c r="CK70" s="705"/>
      <c r="CL70" s="705"/>
      <c r="CM70" s="705"/>
      <c r="CN70" s="705"/>
      <c r="CO70" s="705"/>
      <c r="CP70" s="705"/>
      <c r="CQ70" s="705"/>
      <c r="CR70" s="705"/>
      <c r="CS70" s="705"/>
      <c r="CT70" s="705"/>
      <c r="CU70" s="705"/>
      <c r="CV70" s="705"/>
      <c r="CW70" s="705"/>
      <c r="CX70" s="705"/>
      <c r="CY70" s="705"/>
      <c r="CZ70" s="705"/>
      <c r="DA70" s="705"/>
      <c r="DB70" s="705"/>
      <c r="DC70" s="705"/>
      <c r="DD70" s="705"/>
      <c r="DE70" s="705"/>
      <c r="DF70" s="705"/>
      <c r="DG70" s="705"/>
      <c r="DH70" s="705"/>
      <c r="DI70" s="705"/>
      <c r="DJ70" s="705"/>
      <c r="DK70" s="705"/>
      <c r="DL70" s="705"/>
      <c r="DM70" s="705"/>
      <c r="DN70" s="705"/>
      <c r="DO70" s="705"/>
      <c r="DP70" s="705"/>
      <c r="DQ70" s="705"/>
      <c r="DR70" s="705"/>
      <c r="DS70" s="705"/>
      <c r="DT70" s="705"/>
      <c r="DU70" s="705"/>
      <c r="DV70" s="705"/>
      <c r="DW70" s="705"/>
      <c r="DX70" s="705"/>
      <c r="DY70" s="705"/>
      <c r="DZ70" s="705"/>
      <c r="EA70" s="705"/>
      <c r="EB70" s="705"/>
      <c r="EC70" s="705"/>
      <c r="ED70" s="705"/>
      <c r="EE70" s="705"/>
      <c r="EF70" s="705"/>
      <c r="EG70" s="705"/>
      <c r="EH70" s="705"/>
      <c r="EI70" s="705"/>
      <c r="EJ70" s="705"/>
      <c r="EK70" s="705"/>
      <c r="EL70" s="705"/>
      <c r="EM70" s="705"/>
      <c r="EN70" s="705"/>
      <c r="EO70" s="705"/>
      <c r="EP70" s="705"/>
      <c r="EQ70" s="705"/>
      <c r="ER70" s="705"/>
      <c r="ES70" s="705"/>
      <c r="ET70" s="705"/>
      <c r="EU70" s="705"/>
      <c r="EV70" s="705"/>
      <c r="EW70" s="705"/>
      <c r="EX70" s="705"/>
      <c r="EY70" s="705"/>
      <c r="EZ70" s="705"/>
      <c r="FA70" s="705"/>
      <c r="FB70" s="705"/>
      <c r="FC70" s="705"/>
      <c r="FD70" s="705"/>
      <c r="FE70" s="705"/>
      <c r="FF70" s="705"/>
      <c r="FG70" s="705"/>
      <c r="FH70" s="705"/>
      <c r="FI70" s="705"/>
      <c r="FJ70" s="705"/>
      <c r="FK70" s="705"/>
      <c r="FL70" s="705"/>
      <c r="FM70" s="705"/>
      <c r="FN70" s="705"/>
      <c r="FO70" s="705"/>
      <c r="FP70" s="705"/>
      <c r="FQ70" s="705"/>
      <c r="FR70" s="705"/>
      <c r="FS70" s="705"/>
      <c r="FT70" s="705"/>
      <c r="FU70" s="705"/>
      <c r="FV70" s="705"/>
      <c r="FW70" s="705"/>
      <c r="FX70" s="705"/>
      <c r="FY70" s="705"/>
      <c r="FZ70" s="705"/>
      <c r="GA70" s="705"/>
      <c r="GB70" s="705"/>
      <c r="GC70" s="705"/>
      <c r="GD70" s="705"/>
      <c r="GE70" s="705"/>
      <c r="GF70" s="705"/>
      <c r="GG70" s="705"/>
      <c r="GH70" s="705"/>
      <c r="GI70" s="705"/>
      <c r="GJ70" s="705"/>
      <c r="GK70" s="705"/>
      <c r="GL70" s="705"/>
      <c r="GM70" s="705"/>
      <c r="GN70" s="705"/>
      <c r="GO70" s="705"/>
      <c r="GP70" s="705"/>
      <c r="GQ70" s="705"/>
      <c r="GR70" s="705"/>
      <c r="GS70" s="705"/>
      <c r="GT70" s="705"/>
      <c r="GU70" s="705"/>
      <c r="GV70" s="705"/>
      <c r="GW70" s="705"/>
      <c r="GX70" s="705"/>
      <c r="GY70" s="705"/>
      <c r="GZ70" s="705"/>
      <c r="HA70" s="705"/>
      <c r="HB70" s="705"/>
      <c r="HC70" s="705"/>
      <c r="HD70" s="705"/>
      <c r="HE70" s="705"/>
      <c r="HF70" s="705"/>
      <c r="HG70" s="705"/>
      <c r="HH70" s="705"/>
      <c r="HI70" s="705"/>
      <c r="HJ70" s="705"/>
      <c r="HK70" s="705"/>
      <c r="HL70" s="705"/>
      <c r="HM70" s="705"/>
      <c r="HN70" s="705"/>
      <c r="HO70" s="705"/>
      <c r="HP70" s="705"/>
      <c r="HQ70" s="705"/>
      <c r="HR70" s="705"/>
      <c r="HS70" s="705"/>
      <c r="HT70" s="705"/>
      <c r="HU70" s="705"/>
      <c r="HV70" s="705"/>
      <c r="HW70" s="705"/>
    </row>
    <row r="71" spans="1:231" ht="14.1" customHeight="1">
      <c r="A71" s="705"/>
      <c r="B71" s="732"/>
      <c r="C71" s="732"/>
      <c r="E71" s="753"/>
      <c r="F71" s="705"/>
      <c r="G71" s="705"/>
      <c r="H71" s="705"/>
      <c r="I71" s="705"/>
      <c r="K71" s="724"/>
      <c r="L71" s="704"/>
      <c r="M71" s="704"/>
      <c r="N71" s="704"/>
      <c r="O71" s="704"/>
      <c r="P71" s="704"/>
      <c r="Q71" s="704"/>
      <c r="R71" s="704"/>
      <c r="S71" s="704"/>
      <c r="T71" s="704"/>
      <c r="U71" s="704"/>
      <c r="V71" s="704"/>
      <c r="W71" s="704"/>
      <c r="X71" s="705"/>
      <c r="Y71" s="705"/>
      <c r="Z71" s="705"/>
      <c r="AA71" s="705"/>
      <c r="AB71" s="705"/>
      <c r="AC71" s="705"/>
      <c r="AD71" s="705"/>
      <c r="AE71" s="705"/>
      <c r="AF71" s="705"/>
      <c r="AG71" s="705"/>
      <c r="AH71" s="705"/>
      <c r="AI71" s="705"/>
      <c r="AJ71" s="705"/>
      <c r="AK71" s="705"/>
      <c r="AL71" s="705"/>
      <c r="AM71" s="705"/>
      <c r="AN71" s="705"/>
      <c r="AO71" s="705"/>
      <c r="AP71" s="705"/>
      <c r="AQ71" s="705"/>
      <c r="AR71" s="705"/>
      <c r="AS71" s="705"/>
      <c r="AT71" s="705"/>
      <c r="AU71" s="705"/>
      <c r="AV71" s="705"/>
      <c r="AW71" s="705"/>
      <c r="AX71" s="705"/>
      <c r="AY71" s="705"/>
      <c r="AZ71" s="705"/>
      <c r="BA71" s="705"/>
      <c r="BB71" s="705"/>
      <c r="BC71" s="705"/>
      <c r="BD71" s="705"/>
      <c r="BE71" s="705"/>
      <c r="BF71" s="705"/>
      <c r="BG71" s="705"/>
      <c r="BH71" s="705"/>
      <c r="BI71" s="705"/>
      <c r="BJ71" s="705"/>
      <c r="BK71" s="705"/>
      <c r="BL71" s="705"/>
      <c r="BM71" s="705"/>
      <c r="BN71" s="705"/>
      <c r="BO71" s="705"/>
      <c r="BP71" s="705"/>
      <c r="BQ71" s="705"/>
      <c r="BR71" s="705"/>
      <c r="BS71" s="705"/>
      <c r="BT71" s="705"/>
      <c r="BU71" s="705"/>
      <c r="BV71" s="705"/>
      <c r="BW71" s="705"/>
      <c r="BX71" s="705"/>
      <c r="BY71" s="705"/>
      <c r="BZ71" s="705"/>
      <c r="CA71" s="705"/>
      <c r="CB71" s="705"/>
      <c r="CC71" s="705"/>
      <c r="CD71" s="705"/>
      <c r="CE71" s="705"/>
      <c r="CF71" s="705"/>
      <c r="CG71" s="705"/>
      <c r="CH71" s="705"/>
      <c r="CI71" s="705"/>
      <c r="CJ71" s="705"/>
      <c r="CK71" s="705"/>
      <c r="CL71" s="705"/>
      <c r="CM71" s="705"/>
      <c r="CN71" s="705"/>
      <c r="CO71" s="705"/>
      <c r="CP71" s="705"/>
      <c r="CQ71" s="705"/>
      <c r="CR71" s="705"/>
      <c r="CS71" s="705"/>
      <c r="CT71" s="705"/>
      <c r="CU71" s="705"/>
      <c r="CV71" s="705"/>
      <c r="CW71" s="705"/>
      <c r="CX71" s="705"/>
      <c r="CY71" s="705"/>
      <c r="CZ71" s="705"/>
      <c r="DA71" s="705"/>
      <c r="DB71" s="705"/>
      <c r="DC71" s="705"/>
      <c r="DD71" s="705"/>
      <c r="DE71" s="705"/>
      <c r="DF71" s="705"/>
      <c r="DG71" s="705"/>
      <c r="DH71" s="705"/>
      <c r="DI71" s="705"/>
      <c r="DJ71" s="705"/>
      <c r="DK71" s="705"/>
      <c r="DL71" s="705"/>
      <c r="DM71" s="705"/>
      <c r="DN71" s="705"/>
      <c r="DO71" s="705"/>
      <c r="DP71" s="705"/>
      <c r="DQ71" s="705"/>
      <c r="DR71" s="705"/>
      <c r="DS71" s="705"/>
      <c r="DT71" s="705"/>
      <c r="DU71" s="705"/>
      <c r="DV71" s="705"/>
      <c r="DW71" s="705"/>
      <c r="DX71" s="705"/>
      <c r="DY71" s="705"/>
      <c r="DZ71" s="705"/>
      <c r="EA71" s="705"/>
      <c r="EB71" s="705"/>
      <c r="EC71" s="705"/>
      <c r="ED71" s="705"/>
      <c r="EE71" s="705"/>
      <c r="EF71" s="705"/>
      <c r="EG71" s="705"/>
      <c r="EH71" s="705"/>
      <c r="EI71" s="705"/>
      <c r="EJ71" s="705"/>
      <c r="EK71" s="705"/>
      <c r="EL71" s="705"/>
      <c r="EM71" s="705"/>
      <c r="EN71" s="705"/>
      <c r="EO71" s="705"/>
      <c r="EP71" s="705"/>
      <c r="EQ71" s="705"/>
      <c r="ER71" s="705"/>
      <c r="ES71" s="705"/>
      <c r="ET71" s="705"/>
      <c r="EU71" s="705"/>
      <c r="EV71" s="705"/>
      <c r="EW71" s="705"/>
      <c r="EX71" s="705"/>
      <c r="EY71" s="705"/>
      <c r="EZ71" s="705"/>
      <c r="FA71" s="705"/>
      <c r="FB71" s="705"/>
      <c r="FC71" s="705"/>
      <c r="FD71" s="705"/>
      <c r="FE71" s="705"/>
      <c r="FF71" s="705"/>
      <c r="FG71" s="705"/>
      <c r="FH71" s="705"/>
      <c r="FI71" s="705"/>
      <c r="FJ71" s="705"/>
      <c r="FK71" s="705"/>
      <c r="FL71" s="705"/>
      <c r="FM71" s="705"/>
      <c r="FN71" s="705"/>
      <c r="FO71" s="705"/>
      <c r="FP71" s="705"/>
      <c r="FQ71" s="705"/>
      <c r="FR71" s="705"/>
      <c r="FS71" s="705"/>
      <c r="FT71" s="705"/>
      <c r="FU71" s="705"/>
      <c r="FV71" s="705"/>
      <c r="FW71" s="705"/>
      <c r="FX71" s="705"/>
      <c r="FY71" s="705"/>
      <c r="FZ71" s="705"/>
      <c r="GA71" s="705"/>
      <c r="GB71" s="705"/>
      <c r="GC71" s="705"/>
      <c r="GD71" s="705"/>
      <c r="GE71" s="705"/>
      <c r="GF71" s="705"/>
      <c r="GG71" s="705"/>
      <c r="GH71" s="705"/>
      <c r="GI71" s="705"/>
      <c r="GJ71" s="705"/>
      <c r="GK71" s="705"/>
      <c r="GL71" s="705"/>
      <c r="GM71" s="705"/>
      <c r="GN71" s="705"/>
      <c r="GO71" s="705"/>
      <c r="GP71" s="705"/>
      <c r="GQ71" s="705"/>
      <c r="GR71" s="705"/>
      <c r="GS71" s="705"/>
      <c r="GT71" s="705"/>
      <c r="GU71" s="705"/>
      <c r="GV71" s="705"/>
      <c r="GW71" s="705"/>
      <c r="GX71" s="705"/>
      <c r="GY71" s="705"/>
      <c r="GZ71" s="705"/>
      <c r="HA71" s="705"/>
      <c r="HB71" s="705"/>
      <c r="HC71" s="705"/>
      <c r="HD71" s="705"/>
      <c r="HE71" s="705"/>
      <c r="HF71" s="705"/>
      <c r="HG71" s="705"/>
      <c r="HH71" s="705"/>
      <c r="HI71" s="705"/>
      <c r="HJ71" s="705"/>
      <c r="HK71" s="705"/>
      <c r="HL71" s="705"/>
      <c r="HM71" s="705"/>
      <c r="HN71" s="705"/>
      <c r="HO71" s="705"/>
      <c r="HP71" s="705"/>
      <c r="HQ71" s="705"/>
      <c r="HR71" s="705"/>
      <c r="HS71" s="705"/>
      <c r="HT71" s="705"/>
      <c r="HU71" s="705"/>
      <c r="HV71" s="705"/>
      <c r="HW71" s="705"/>
    </row>
    <row r="72" spans="1:231" ht="14.1" customHeight="1">
      <c r="A72" s="705"/>
      <c r="B72" s="732"/>
      <c r="C72" s="732"/>
      <c r="E72" s="753"/>
      <c r="F72" s="705"/>
      <c r="G72" s="705"/>
      <c r="H72" s="705"/>
      <c r="I72" s="705"/>
      <c r="K72" s="724"/>
      <c r="L72" s="704"/>
      <c r="M72" s="704"/>
      <c r="N72" s="704"/>
      <c r="O72" s="704"/>
      <c r="P72" s="704"/>
      <c r="Q72" s="704"/>
      <c r="R72" s="704"/>
      <c r="S72" s="704"/>
      <c r="T72" s="704"/>
      <c r="U72" s="704"/>
      <c r="V72" s="704"/>
      <c r="W72" s="704"/>
      <c r="X72" s="705"/>
      <c r="Y72" s="705"/>
      <c r="Z72" s="705"/>
      <c r="AA72" s="705"/>
      <c r="AB72" s="705"/>
      <c r="AC72" s="705"/>
      <c r="AD72" s="705"/>
      <c r="AE72" s="705"/>
      <c r="AF72" s="705"/>
      <c r="AG72" s="705"/>
      <c r="AH72" s="705"/>
      <c r="AI72" s="705"/>
      <c r="AJ72" s="705"/>
      <c r="AK72" s="705"/>
      <c r="AL72" s="705"/>
      <c r="AM72" s="705"/>
      <c r="AN72" s="705"/>
      <c r="AO72" s="705"/>
      <c r="AP72" s="705"/>
      <c r="AQ72" s="705"/>
      <c r="AR72" s="705"/>
      <c r="AS72" s="705"/>
      <c r="AT72" s="705"/>
      <c r="AU72" s="705"/>
      <c r="AV72" s="705"/>
      <c r="AW72" s="705"/>
      <c r="AX72" s="705"/>
      <c r="AY72" s="705"/>
      <c r="AZ72" s="705"/>
      <c r="BA72" s="705"/>
      <c r="BB72" s="705"/>
      <c r="BC72" s="705"/>
      <c r="BD72" s="705"/>
      <c r="BE72" s="705"/>
      <c r="BF72" s="705"/>
      <c r="BG72" s="705"/>
      <c r="BH72" s="705"/>
      <c r="BI72" s="705"/>
      <c r="BJ72" s="705"/>
      <c r="BK72" s="705"/>
      <c r="BL72" s="705"/>
      <c r="BM72" s="705"/>
      <c r="BN72" s="705"/>
      <c r="BO72" s="705"/>
      <c r="BP72" s="705"/>
      <c r="BQ72" s="705"/>
      <c r="BR72" s="705"/>
      <c r="BS72" s="705"/>
      <c r="BT72" s="705"/>
      <c r="BU72" s="705"/>
      <c r="BV72" s="705"/>
      <c r="BW72" s="705"/>
      <c r="BX72" s="705"/>
      <c r="BY72" s="705"/>
      <c r="BZ72" s="705"/>
      <c r="CA72" s="705"/>
      <c r="CB72" s="705"/>
      <c r="CC72" s="705"/>
      <c r="CD72" s="705"/>
      <c r="CE72" s="705"/>
      <c r="CF72" s="705"/>
      <c r="CG72" s="705"/>
      <c r="CH72" s="705"/>
      <c r="CI72" s="705"/>
      <c r="CJ72" s="705"/>
      <c r="CK72" s="705"/>
      <c r="CL72" s="705"/>
      <c r="CM72" s="705"/>
      <c r="CN72" s="705"/>
      <c r="CO72" s="705"/>
      <c r="CP72" s="705"/>
      <c r="CQ72" s="705"/>
      <c r="CR72" s="705"/>
      <c r="CS72" s="705"/>
      <c r="CT72" s="705"/>
      <c r="CU72" s="705"/>
      <c r="CV72" s="705"/>
      <c r="CW72" s="705"/>
      <c r="CX72" s="705"/>
      <c r="CY72" s="705"/>
      <c r="CZ72" s="705"/>
      <c r="DA72" s="705"/>
      <c r="DB72" s="705"/>
      <c r="DC72" s="705"/>
      <c r="DD72" s="705"/>
      <c r="DE72" s="705"/>
      <c r="DF72" s="705"/>
      <c r="DG72" s="705"/>
      <c r="DH72" s="705"/>
      <c r="DI72" s="705"/>
      <c r="DJ72" s="705"/>
      <c r="DK72" s="705"/>
      <c r="DL72" s="705"/>
      <c r="DM72" s="705"/>
      <c r="DN72" s="705"/>
      <c r="DO72" s="705"/>
      <c r="DP72" s="705"/>
      <c r="DQ72" s="705"/>
      <c r="DR72" s="705"/>
      <c r="DS72" s="705"/>
      <c r="DT72" s="705"/>
      <c r="DU72" s="705"/>
      <c r="DV72" s="705"/>
      <c r="DW72" s="705"/>
      <c r="DX72" s="705"/>
      <c r="DY72" s="705"/>
      <c r="DZ72" s="705"/>
      <c r="EA72" s="705"/>
      <c r="EB72" s="705"/>
      <c r="EC72" s="705"/>
      <c r="ED72" s="705"/>
      <c r="EE72" s="705"/>
      <c r="EF72" s="705"/>
      <c r="EG72" s="705"/>
      <c r="EH72" s="705"/>
      <c r="EI72" s="705"/>
      <c r="EJ72" s="705"/>
      <c r="EK72" s="705"/>
      <c r="EL72" s="705"/>
      <c r="EM72" s="705"/>
      <c r="EN72" s="705"/>
      <c r="EO72" s="705"/>
      <c r="EP72" s="705"/>
      <c r="EQ72" s="705"/>
      <c r="ER72" s="705"/>
      <c r="ES72" s="705"/>
      <c r="ET72" s="705"/>
      <c r="EU72" s="705"/>
      <c r="EV72" s="705"/>
      <c r="EW72" s="705"/>
      <c r="EX72" s="705"/>
      <c r="EY72" s="705"/>
      <c r="EZ72" s="705"/>
      <c r="FA72" s="705"/>
      <c r="FB72" s="705"/>
      <c r="FC72" s="705"/>
      <c r="FD72" s="705"/>
      <c r="FE72" s="705"/>
      <c r="FF72" s="705"/>
      <c r="FG72" s="705"/>
      <c r="FH72" s="705"/>
      <c r="FI72" s="705"/>
      <c r="FJ72" s="705"/>
      <c r="FK72" s="705"/>
      <c r="FL72" s="705"/>
      <c r="FM72" s="705"/>
      <c r="FN72" s="705"/>
      <c r="FO72" s="705"/>
      <c r="FP72" s="705"/>
      <c r="FQ72" s="705"/>
      <c r="FR72" s="705"/>
      <c r="FS72" s="705"/>
      <c r="FT72" s="705"/>
      <c r="FU72" s="705"/>
      <c r="FV72" s="705"/>
      <c r="FW72" s="705"/>
      <c r="FX72" s="705"/>
      <c r="FY72" s="705"/>
      <c r="FZ72" s="705"/>
      <c r="GA72" s="705"/>
      <c r="GB72" s="705"/>
      <c r="GC72" s="705"/>
      <c r="GD72" s="705"/>
      <c r="GE72" s="705"/>
      <c r="GF72" s="705"/>
      <c r="GG72" s="705"/>
      <c r="GH72" s="705"/>
      <c r="GI72" s="705"/>
      <c r="GJ72" s="705"/>
      <c r="GK72" s="705"/>
      <c r="GL72" s="705"/>
      <c r="GM72" s="705"/>
      <c r="GN72" s="705"/>
      <c r="GO72" s="705"/>
      <c r="GP72" s="705"/>
      <c r="GQ72" s="705"/>
      <c r="GR72" s="705"/>
      <c r="GS72" s="705"/>
      <c r="GT72" s="705"/>
      <c r="GU72" s="705"/>
      <c r="GV72" s="705"/>
      <c r="GW72" s="705"/>
      <c r="GX72" s="705"/>
      <c r="GY72" s="705"/>
      <c r="GZ72" s="705"/>
      <c r="HA72" s="705"/>
      <c r="HB72" s="705"/>
      <c r="HC72" s="705"/>
      <c r="HD72" s="705"/>
      <c r="HE72" s="705"/>
      <c r="HF72" s="705"/>
      <c r="HG72" s="705"/>
      <c r="HH72" s="705"/>
      <c r="HI72" s="705"/>
      <c r="HJ72" s="705"/>
      <c r="HK72" s="705"/>
      <c r="HL72" s="705"/>
      <c r="HM72" s="705"/>
      <c r="HN72" s="705"/>
      <c r="HO72" s="705"/>
      <c r="HP72" s="705"/>
      <c r="HQ72" s="705"/>
      <c r="HR72" s="705"/>
      <c r="HS72" s="705"/>
      <c r="HT72" s="705"/>
      <c r="HU72" s="705"/>
      <c r="HV72" s="705"/>
      <c r="HW72" s="705"/>
    </row>
    <row r="73" spans="1:231" ht="14.1" customHeight="1">
      <c r="A73" s="705"/>
      <c r="B73" s="732"/>
      <c r="C73" s="732"/>
      <c r="E73" s="753"/>
      <c r="F73" s="705"/>
      <c r="G73" s="705"/>
      <c r="H73" s="705"/>
      <c r="I73" s="705"/>
      <c r="K73" s="724"/>
      <c r="L73" s="704"/>
      <c r="M73" s="704"/>
      <c r="N73" s="704"/>
      <c r="O73" s="704"/>
      <c r="P73" s="704"/>
      <c r="Q73" s="704"/>
      <c r="R73" s="704"/>
      <c r="S73" s="704"/>
      <c r="T73" s="704"/>
      <c r="U73" s="704"/>
      <c r="V73" s="704"/>
      <c r="W73" s="704"/>
      <c r="X73" s="705"/>
      <c r="Y73" s="705"/>
      <c r="Z73" s="705"/>
      <c r="AA73" s="705"/>
      <c r="AB73" s="705"/>
      <c r="AC73" s="705"/>
      <c r="AD73" s="705"/>
      <c r="AE73" s="705"/>
      <c r="AF73" s="705"/>
      <c r="AG73" s="705"/>
      <c r="AH73" s="705"/>
      <c r="AI73" s="705"/>
      <c r="AJ73" s="705"/>
      <c r="AK73" s="705"/>
      <c r="AL73" s="705"/>
      <c r="AM73" s="705"/>
      <c r="AN73" s="705"/>
      <c r="AO73" s="705"/>
      <c r="AP73" s="705"/>
      <c r="AQ73" s="705"/>
      <c r="AR73" s="705"/>
      <c r="AS73" s="705"/>
      <c r="AT73" s="705"/>
      <c r="AU73" s="705"/>
      <c r="AV73" s="705"/>
      <c r="AW73" s="705"/>
      <c r="AX73" s="705"/>
      <c r="AY73" s="705"/>
      <c r="AZ73" s="705"/>
      <c r="BA73" s="705"/>
      <c r="BB73" s="705"/>
      <c r="BC73" s="705"/>
      <c r="BD73" s="705"/>
      <c r="BE73" s="705"/>
      <c r="BF73" s="705"/>
      <c r="BG73" s="705"/>
      <c r="BH73" s="705"/>
      <c r="BI73" s="705"/>
      <c r="BJ73" s="705"/>
      <c r="BK73" s="705"/>
      <c r="BL73" s="705"/>
      <c r="BM73" s="705"/>
      <c r="BN73" s="705"/>
      <c r="BO73" s="705"/>
      <c r="BP73" s="705"/>
      <c r="BQ73" s="705"/>
      <c r="BR73" s="705"/>
      <c r="BS73" s="705"/>
      <c r="BT73" s="705"/>
      <c r="BU73" s="705"/>
      <c r="BV73" s="705"/>
      <c r="BW73" s="705"/>
      <c r="BX73" s="705"/>
      <c r="BY73" s="705"/>
      <c r="BZ73" s="705"/>
      <c r="CA73" s="705"/>
      <c r="CB73" s="705"/>
      <c r="CC73" s="705"/>
      <c r="CD73" s="705"/>
      <c r="CE73" s="705"/>
      <c r="CF73" s="705"/>
      <c r="CG73" s="705"/>
      <c r="CH73" s="705"/>
      <c r="CI73" s="705"/>
      <c r="CJ73" s="705"/>
      <c r="CK73" s="705"/>
      <c r="CL73" s="705"/>
      <c r="CM73" s="705"/>
      <c r="CN73" s="705"/>
      <c r="CO73" s="705"/>
      <c r="CP73" s="705"/>
      <c r="CQ73" s="705"/>
      <c r="CR73" s="705"/>
      <c r="CS73" s="705"/>
      <c r="CT73" s="705"/>
      <c r="CU73" s="705"/>
      <c r="CV73" s="705"/>
      <c r="CW73" s="705"/>
      <c r="CX73" s="705"/>
      <c r="CY73" s="705"/>
      <c r="CZ73" s="705"/>
      <c r="DA73" s="705"/>
      <c r="DB73" s="705"/>
      <c r="DC73" s="705"/>
      <c r="DD73" s="705"/>
      <c r="DE73" s="705"/>
      <c r="DF73" s="705"/>
      <c r="DG73" s="705"/>
      <c r="DH73" s="705"/>
      <c r="DI73" s="705"/>
      <c r="DJ73" s="705"/>
      <c r="DK73" s="705"/>
      <c r="DL73" s="705"/>
      <c r="DM73" s="705"/>
      <c r="DN73" s="705"/>
      <c r="DO73" s="705"/>
      <c r="DP73" s="705"/>
      <c r="DQ73" s="705"/>
      <c r="DR73" s="705"/>
      <c r="DS73" s="705"/>
      <c r="DT73" s="705"/>
      <c r="DU73" s="705"/>
      <c r="DV73" s="705"/>
      <c r="DW73" s="705"/>
      <c r="DX73" s="705"/>
      <c r="DY73" s="705"/>
      <c r="DZ73" s="705"/>
      <c r="EA73" s="705"/>
      <c r="EB73" s="705"/>
      <c r="EC73" s="705"/>
      <c r="ED73" s="705"/>
      <c r="EE73" s="705"/>
      <c r="EF73" s="705"/>
      <c r="EG73" s="705"/>
      <c r="EH73" s="705"/>
      <c r="EI73" s="705"/>
      <c r="EJ73" s="705"/>
      <c r="EK73" s="705"/>
      <c r="EL73" s="705"/>
      <c r="EM73" s="705"/>
      <c r="EN73" s="705"/>
      <c r="EO73" s="705"/>
      <c r="EP73" s="705"/>
      <c r="EQ73" s="705"/>
      <c r="ER73" s="705"/>
      <c r="ES73" s="705"/>
      <c r="ET73" s="705"/>
      <c r="EU73" s="705"/>
      <c r="EV73" s="705"/>
      <c r="EW73" s="705"/>
      <c r="EX73" s="705"/>
      <c r="EY73" s="705"/>
      <c r="EZ73" s="705"/>
      <c r="FA73" s="705"/>
      <c r="FB73" s="705"/>
      <c r="FC73" s="705"/>
      <c r="FD73" s="705"/>
      <c r="FE73" s="705"/>
      <c r="FF73" s="705"/>
      <c r="FG73" s="705"/>
      <c r="FH73" s="705"/>
      <c r="FI73" s="705"/>
      <c r="FJ73" s="705"/>
      <c r="FK73" s="705"/>
      <c r="FL73" s="705"/>
      <c r="FM73" s="705"/>
      <c r="FN73" s="705"/>
      <c r="FO73" s="705"/>
      <c r="FP73" s="705"/>
      <c r="FQ73" s="705"/>
      <c r="FR73" s="705"/>
      <c r="FS73" s="705"/>
      <c r="FT73" s="705"/>
      <c r="FU73" s="705"/>
      <c r="FV73" s="705"/>
      <c r="FW73" s="705"/>
      <c r="FX73" s="705"/>
      <c r="FY73" s="705"/>
      <c r="FZ73" s="705"/>
      <c r="GA73" s="705"/>
      <c r="GB73" s="705"/>
      <c r="GC73" s="705"/>
      <c r="GD73" s="705"/>
      <c r="GE73" s="705"/>
      <c r="GF73" s="705"/>
      <c r="GG73" s="705"/>
      <c r="GH73" s="705"/>
      <c r="GI73" s="705"/>
      <c r="GJ73" s="705"/>
      <c r="GK73" s="705"/>
      <c r="GL73" s="705"/>
      <c r="GM73" s="705"/>
      <c r="GN73" s="705"/>
      <c r="GO73" s="705"/>
      <c r="GP73" s="705"/>
      <c r="GQ73" s="705"/>
      <c r="GR73" s="705"/>
      <c r="GS73" s="705"/>
      <c r="GT73" s="705"/>
      <c r="GU73" s="705"/>
      <c r="GV73" s="705"/>
      <c r="GW73" s="705"/>
      <c r="GX73" s="705"/>
      <c r="GY73" s="705"/>
      <c r="GZ73" s="705"/>
      <c r="HA73" s="705"/>
      <c r="HB73" s="705"/>
      <c r="HC73" s="705"/>
      <c r="HD73" s="705"/>
      <c r="HE73" s="705"/>
      <c r="HF73" s="705"/>
      <c r="HG73" s="705"/>
      <c r="HH73" s="705"/>
      <c r="HI73" s="705"/>
      <c r="HJ73" s="705"/>
      <c r="HK73" s="705"/>
      <c r="HL73" s="705"/>
      <c r="HM73" s="705"/>
      <c r="HN73" s="705"/>
      <c r="HO73" s="705"/>
      <c r="HP73" s="705"/>
      <c r="HQ73" s="705"/>
      <c r="HR73" s="705"/>
      <c r="HS73" s="705"/>
      <c r="HT73" s="705"/>
      <c r="HU73" s="705"/>
      <c r="HV73" s="705"/>
      <c r="HW73" s="705"/>
    </row>
    <row r="74" spans="1:231" ht="14.1" customHeight="1">
      <c r="A74" s="705"/>
      <c r="B74" s="732"/>
      <c r="C74" s="732"/>
      <c r="E74" s="753"/>
      <c r="F74" s="705"/>
      <c r="G74" s="705"/>
      <c r="H74" s="705"/>
      <c r="I74" s="705"/>
      <c r="K74" s="724"/>
      <c r="L74" s="704"/>
      <c r="M74" s="704"/>
      <c r="N74" s="704"/>
      <c r="O74" s="704"/>
      <c r="P74" s="704"/>
      <c r="Q74" s="704"/>
      <c r="R74" s="704"/>
      <c r="S74" s="704"/>
      <c r="T74" s="704"/>
      <c r="U74" s="704"/>
      <c r="V74" s="704"/>
      <c r="W74" s="704"/>
      <c r="X74" s="705"/>
      <c r="Y74" s="705"/>
      <c r="Z74" s="705"/>
      <c r="AA74" s="705"/>
      <c r="AB74" s="705"/>
      <c r="AC74" s="705"/>
      <c r="AD74" s="705"/>
      <c r="AE74" s="705"/>
      <c r="AF74" s="705"/>
      <c r="AG74" s="705"/>
      <c r="AH74" s="705"/>
      <c r="AI74" s="705"/>
      <c r="AJ74" s="705"/>
      <c r="AK74" s="705"/>
      <c r="AL74" s="705"/>
      <c r="AM74" s="705"/>
      <c r="AN74" s="705"/>
      <c r="AO74" s="705"/>
      <c r="AP74" s="705"/>
      <c r="AQ74" s="705"/>
      <c r="AR74" s="705"/>
      <c r="AS74" s="705"/>
      <c r="AT74" s="705"/>
      <c r="AU74" s="705"/>
      <c r="AV74" s="705"/>
      <c r="AW74" s="705"/>
      <c r="AX74" s="705"/>
      <c r="AY74" s="705"/>
      <c r="AZ74" s="705"/>
      <c r="BA74" s="705"/>
      <c r="BB74" s="705"/>
      <c r="BC74" s="705"/>
      <c r="BD74" s="705"/>
      <c r="BE74" s="705"/>
      <c r="BF74" s="705"/>
      <c r="BG74" s="705"/>
      <c r="BH74" s="705"/>
      <c r="BI74" s="705"/>
      <c r="BJ74" s="705"/>
      <c r="BK74" s="705"/>
      <c r="BL74" s="705"/>
      <c r="BM74" s="705"/>
      <c r="BN74" s="705"/>
      <c r="BO74" s="705"/>
      <c r="BP74" s="705"/>
      <c r="BQ74" s="705"/>
      <c r="BR74" s="705"/>
      <c r="BS74" s="705"/>
      <c r="BT74" s="705"/>
      <c r="BU74" s="705"/>
      <c r="BV74" s="705"/>
      <c r="BW74" s="705"/>
      <c r="BX74" s="705"/>
      <c r="BY74" s="705"/>
      <c r="BZ74" s="705"/>
      <c r="CA74" s="705"/>
      <c r="CB74" s="705"/>
      <c r="CC74" s="705"/>
      <c r="CD74" s="705"/>
      <c r="CE74" s="705"/>
      <c r="CF74" s="705"/>
      <c r="CG74" s="705"/>
      <c r="CH74" s="705"/>
      <c r="CI74" s="705"/>
      <c r="CJ74" s="705"/>
      <c r="CK74" s="705"/>
      <c r="CL74" s="705"/>
      <c r="CM74" s="705"/>
      <c r="CN74" s="705"/>
      <c r="CO74" s="705"/>
      <c r="CP74" s="705"/>
      <c r="CQ74" s="705"/>
      <c r="CR74" s="705"/>
      <c r="CS74" s="705"/>
      <c r="CT74" s="705"/>
      <c r="CU74" s="705"/>
      <c r="CV74" s="705"/>
      <c r="CW74" s="705"/>
      <c r="CX74" s="705"/>
      <c r="CY74" s="705"/>
      <c r="CZ74" s="705"/>
      <c r="DA74" s="705"/>
      <c r="DB74" s="705"/>
      <c r="DC74" s="705"/>
      <c r="DD74" s="705"/>
      <c r="DE74" s="705"/>
      <c r="DF74" s="705"/>
      <c r="DG74" s="705"/>
      <c r="DH74" s="705"/>
      <c r="DI74" s="705"/>
      <c r="DJ74" s="705"/>
      <c r="DK74" s="705"/>
      <c r="DL74" s="705"/>
      <c r="DM74" s="705"/>
      <c r="DN74" s="705"/>
      <c r="DO74" s="705"/>
      <c r="DP74" s="705"/>
      <c r="DQ74" s="705"/>
      <c r="DR74" s="705"/>
      <c r="DS74" s="705"/>
      <c r="DT74" s="705"/>
      <c r="DU74" s="705"/>
      <c r="DV74" s="705"/>
      <c r="DW74" s="705"/>
      <c r="DX74" s="705"/>
      <c r="DY74" s="705"/>
      <c r="DZ74" s="705"/>
      <c r="EA74" s="705"/>
      <c r="EB74" s="705"/>
      <c r="EC74" s="705"/>
      <c r="ED74" s="705"/>
      <c r="EE74" s="705"/>
      <c r="EF74" s="705"/>
      <c r="EG74" s="705"/>
      <c r="EH74" s="705"/>
      <c r="EI74" s="705"/>
      <c r="EJ74" s="705"/>
      <c r="EK74" s="705"/>
      <c r="EL74" s="705"/>
      <c r="EM74" s="705"/>
      <c r="EN74" s="705"/>
      <c r="EO74" s="705"/>
      <c r="EP74" s="705"/>
      <c r="EQ74" s="705"/>
      <c r="ER74" s="705"/>
      <c r="ES74" s="705"/>
      <c r="ET74" s="705"/>
      <c r="EU74" s="705"/>
      <c r="EV74" s="705"/>
      <c r="EW74" s="705"/>
      <c r="EX74" s="705"/>
      <c r="EY74" s="705"/>
      <c r="EZ74" s="705"/>
      <c r="FA74" s="705"/>
      <c r="FB74" s="705"/>
      <c r="FC74" s="705"/>
      <c r="FD74" s="705"/>
      <c r="FE74" s="705"/>
      <c r="FF74" s="705"/>
      <c r="FG74" s="705"/>
      <c r="FH74" s="705"/>
      <c r="FI74" s="705"/>
      <c r="FJ74" s="705"/>
      <c r="FK74" s="705"/>
      <c r="FL74" s="705"/>
      <c r="FM74" s="705"/>
      <c r="FN74" s="705"/>
      <c r="FO74" s="705"/>
      <c r="FP74" s="705"/>
      <c r="FQ74" s="705"/>
      <c r="FR74" s="705"/>
      <c r="FS74" s="705"/>
      <c r="FT74" s="705"/>
      <c r="FU74" s="705"/>
      <c r="FV74" s="705"/>
      <c r="FW74" s="705"/>
      <c r="FX74" s="705"/>
      <c r="FY74" s="705"/>
      <c r="FZ74" s="705"/>
      <c r="GA74" s="705"/>
      <c r="GB74" s="705"/>
      <c r="GC74" s="705"/>
      <c r="GD74" s="705"/>
      <c r="GE74" s="705"/>
      <c r="GF74" s="705"/>
      <c r="GG74" s="705"/>
      <c r="GH74" s="705"/>
      <c r="GI74" s="705"/>
      <c r="GJ74" s="705"/>
      <c r="GK74" s="705"/>
      <c r="GL74" s="705"/>
      <c r="GM74" s="705"/>
      <c r="GN74" s="705"/>
      <c r="GO74" s="705"/>
      <c r="GP74" s="705"/>
      <c r="GQ74" s="705"/>
      <c r="GR74" s="705"/>
      <c r="GS74" s="705"/>
      <c r="GT74" s="705"/>
      <c r="GU74" s="705"/>
      <c r="GV74" s="705"/>
      <c r="GW74" s="705"/>
      <c r="GX74" s="705"/>
      <c r="GY74" s="705"/>
      <c r="GZ74" s="705"/>
      <c r="HA74" s="705"/>
      <c r="HB74" s="705"/>
      <c r="HC74" s="705"/>
      <c r="HD74" s="705"/>
      <c r="HE74" s="705"/>
      <c r="HF74" s="705"/>
      <c r="HG74" s="705"/>
      <c r="HH74" s="705"/>
      <c r="HI74" s="705"/>
      <c r="HJ74" s="705"/>
      <c r="HK74" s="705"/>
      <c r="HL74" s="705"/>
      <c r="HM74" s="705"/>
      <c r="HN74" s="705"/>
      <c r="HO74" s="705"/>
      <c r="HP74" s="705"/>
      <c r="HQ74" s="705"/>
      <c r="HR74" s="705"/>
      <c r="HS74" s="705"/>
      <c r="HT74" s="705"/>
      <c r="HU74" s="705"/>
      <c r="HV74" s="705"/>
      <c r="HW74" s="705"/>
    </row>
    <row r="75" spans="1:231" ht="14.1" customHeight="1">
      <c r="A75" s="705"/>
      <c r="B75" s="732"/>
      <c r="C75" s="732"/>
      <c r="E75" s="753"/>
      <c r="F75" s="705"/>
      <c r="G75" s="705"/>
      <c r="H75" s="705"/>
      <c r="I75" s="705"/>
      <c r="K75" s="724"/>
      <c r="L75" s="704"/>
      <c r="M75" s="704"/>
      <c r="N75" s="704"/>
      <c r="O75" s="704"/>
      <c r="P75" s="704"/>
      <c r="Q75" s="704"/>
      <c r="R75" s="704"/>
      <c r="S75" s="704"/>
      <c r="T75" s="704"/>
      <c r="U75" s="704"/>
      <c r="V75" s="704"/>
      <c r="W75" s="704"/>
      <c r="X75" s="705"/>
      <c r="Y75" s="705"/>
      <c r="Z75" s="705"/>
      <c r="AA75" s="705"/>
      <c r="AB75" s="705"/>
      <c r="AC75" s="705"/>
      <c r="AD75" s="705"/>
      <c r="AE75" s="705"/>
      <c r="AF75" s="705"/>
      <c r="AG75" s="705"/>
      <c r="AH75" s="705"/>
      <c r="AI75" s="705"/>
      <c r="AJ75" s="705"/>
      <c r="AK75" s="705"/>
      <c r="AL75" s="705"/>
      <c r="AM75" s="705"/>
      <c r="AN75" s="705"/>
      <c r="AO75" s="705"/>
      <c r="AP75" s="705"/>
      <c r="AQ75" s="705"/>
      <c r="AR75" s="705"/>
      <c r="AS75" s="705"/>
      <c r="AT75" s="705"/>
      <c r="AU75" s="705"/>
      <c r="AV75" s="705"/>
      <c r="AW75" s="705"/>
      <c r="AX75" s="705"/>
      <c r="AY75" s="705"/>
      <c r="AZ75" s="705"/>
      <c r="BA75" s="705"/>
      <c r="BB75" s="705"/>
      <c r="BC75" s="705"/>
      <c r="BD75" s="705"/>
      <c r="BE75" s="705"/>
      <c r="BF75" s="705"/>
      <c r="BG75" s="705"/>
      <c r="BH75" s="705"/>
      <c r="BI75" s="705"/>
      <c r="BJ75" s="705"/>
      <c r="BK75" s="705"/>
      <c r="BL75" s="705"/>
      <c r="BM75" s="705"/>
      <c r="BN75" s="705"/>
      <c r="BO75" s="705"/>
      <c r="BP75" s="705"/>
      <c r="BQ75" s="705"/>
      <c r="BR75" s="705"/>
      <c r="BS75" s="705"/>
      <c r="BT75" s="705"/>
      <c r="BU75" s="705"/>
      <c r="BV75" s="705"/>
      <c r="BW75" s="705"/>
      <c r="BX75" s="705"/>
      <c r="BY75" s="705"/>
      <c r="BZ75" s="705"/>
      <c r="CA75" s="705"/>
      <c r="CB75" s="705"/>
      <c r="CC75" s="705"/>
      <c r="CD75" s="705"/>
      <c r="CE75" s="705"/>
      <c r="CF75" s="705"/>
      <c r="CG75" s="705"/>
      <c r="CH75" s="705"/>
      <c r="CI75" s="705"/>
      <c r="CJ75" s="705"/>
      <c r="CK75" s="705"/>
      <c r="CL75" s="705"/>
      <c r="CM75" s="705"/>
      <c r="CN75" s="705"/>
      <c r="CO75" s="705"/>
      <c r="CP75" s="705"/>
      <c r="CQ75" s="705"/>
      <c r="CR75" s="705"/>
      <c r="CS75" s="705"/>
      <c r="CT75" s="705"/>
      <c r="CU75" s="705"/>
      <c r="CV75" s="705"/>
      <c r="CW75" s="705"/>
      <c r="CX75" s="705"/>
      <c r="CY75" s="705"/>
      <c r="CZ75" s="705"/>
      <c r="DA75" s="705"/>
      <c r="DB75" s="705"/>
      <c r="DC75" s="705"/>
      <c r="DD75" s="705"/>
      <c r="DE75" s="705"/>
      <c r="DF75" s="705"/>
      <c r="DG75" s="705"/>
      <c r="DH75" s="705"/>
      <c r="DI75" s="705"/>
      <c r="DJ75" s="705"/>
      <c r="DK75" s="705"/>
      <c r="DL75" s="705"/>
      <c r="DM75" s="705"/>
      <c r="DN75" s="705"/>
      <c r="DO75" s="705"/>
      <c r="DP75" s="705"/>
      <c r="DQ75" s="705"/>
      <c r="DR75" s="705"/>
      <c r="DS75" s="705"/>
      <c r="DT75" s="705"/>
      <c r="DU75" s="705"/>
      <c r="DV75" s="705"/>
      <c r="DW75" s="705"/>
      <c r="DX75" s="705"/>
      <c r="DY75" s="705"/>
      <c r="DZ75" s="705"/>
      <c r="EA75" s="705"/>
      <c r="EB75" s="705"/>
      <c r="EC75" s="705"/>
      <c r="ED75" s="705"/>
      <c r="EE75" s="705"/>
      <c r="EF75" s="705"/>
      <c r="EG75" s="705"/>
      <c r="EH75" s="705"/>
      <c r="EI75" s="705"/>
      <c r="EJ75" s="705"/>
      <c r="EK75" s="705"/>
      <c r="EL75" s="705"/>
      <c r="EM75" s="705"/>
      <c r="EN75" s="705"/>
      <c r="EO75" s="705"/>
      <c r="EP75" s="705"/>
      <c r="EQ75" s="705"/>
      <c r="ER75" s="705"/>
      <c r="ES75" s="705"/>
      <c r="ET75" s="705"/>
      <c r="EU75" s="705"/>
      <c r="EV75" s="705"/>
      <c r="EW75" s="705"/>
      <c r="EX75" s="705"/>
      <c r="EY75" s="705"/>
      <c r="EZ75" s="705"/>
      <c r="FA75" s="705"/>
      <c r="FB75" s="705"/>
      <c r="FC75" s="705"/>
      <c r="FD75" s="705"/>
      <c r="FE75" s="705"/>
      <c r="FF75" s="705"/>
      <c r="FG75" s="705"/>
      <c r="FH75" s="705"/>
      <c r="FI75" s="705"/>
      <c r="FJ75" s="705"/>
      <c r="FK75" s="705"/>
      <c r="FL75" s="705"/>
      <c r="FM75" s="705"/>
      <c r="FN75" s="705"/>
      <c r="FO75" s="705"/>
      <c r="FP75" s="705"/>
      <c r="FQ75" s="705"/>
      <c r="FR75" s="705"/>
      <c r="FS75" s="705"/>
      <c r="FT75" s="705"/>
      <c r="FU75" s="705"/>
      <c r="FV75" s="705"/>
      <c r="FW75" s="705"/>
      <c r="FX75" s="705"/>
      <c r="FY75" s="705"/>
      <c r="FZ75" s="705"/>
      <c r="GA75" s="705"/>
      <c r="GB75" s="705"/>
      <c r="GC75" s="705"/>
      <c r="GD75" s="705"/>
      <c r="GE75" s="705"/>
      <c r="GF75" s="705"/>
      <c r="GG75" s="705"/>
      <c r="GH75" s="705"/>
      <c r="GI75" s="705"/>
      <c r="GJ75" s="705"/>
      <c r="GK75" s="705"/>
      <c r="GL75" s="705"/>
      <c r="GM75" s="705"/>
      <c r="GN75" s="705"/>
      <c r="GO75" s="705"/>
      <c r="GP75" s="705"/>
      <c r="GQ75" s="705"/>
      <c r="GR75" s="705"/>
      <c r="GS75" s="705"/>
      <c r="GT75" s="705"/>
      <c r="GU75" s="705"/>
      <c r="GV75" s="705"/>
      <c r="GW75" s="705"/>
      <c r="GX75" s="705"/>
      <c r="GY75" s="705"/>
      <c r="GZ75" s="705"/>
      <c r="HA75" s="705"/>
      <c r="HB75" s="705"/>
      <c r="HC75" s="705"/>
      <c r="HD75" s="705"/>
      <c r="HE75" s="705"/>
      <c r="HF75" s="705"/>
      <c r="HG75" s="705"/>
      <c r="HH75" s="705"/>
      <c r="HI75" s="705"/>
      <c r="HJ75" s="705"/>
      <c r="HK75" s="705"/>
      <c r="HL75" s="705"/>
      <c r="HM75" s="705"/>
      <c r="HN75" s="705"/>
      <c r="HO75" s="705"/>
      <c r="HP75" s="705"/>
      <c r="HQ75" s="705"/>
      <c r="HR75" s="705"/>
      <c r="HS75" s="705"/>
      <c r="HT75" s="705"/>
      <c r="HU75" s="705"/>
      <c r="HV75" s="705"/>
      <c r="HW75" s="705"/>
    </row>
    <row r="76" spans="1:231" ht="14.1" customHeight="1">
      <c r="A76" s="705"/>
      <c r="B76" s="732"/>
      <c r="C76" s="732"/>
      <c r="E76" s="753"/>
      <c r="F76" s="705"/>
      <c r="G76" s="705"/>
      <c r="H76" s="705"/>
      <c r="I76" s="705"/>
      <c r="K76" s="724"/>
      <c r="L76" s="704"/>
      <c r="M76" s="704"/>
      <c r="N76" s="704"/>
      <c r="O76" s="704"/>
      <c r="P76" s="704"/>
      <c r="Q76" s="704"/>
      <c r="R76" s="704"/>
      <c r="S76" s="704"/>
      <c r="T76" s="704"/>
      <c r="U76" s="704"/>
      <c r="V76" s="704"/>
      <c r="W76" s="704"/>
      <c r="X76" s="705"/>
      <c r="Y76" s="705"/>
      <c r="Z76" s="705"/>
      <c r="AA76" s="705"/>
      <c r="AB76" s="705"/>
      <c r="AC76" s="705"/>
      <c r="AD76" s="705"/>
      <c r="AE76" s="705"/>
      <c r="AF76" s="705"/>
      <c r="AG76" s="705"/>
      <c r="AH76" s="705"/>
      <c r="AI76" s="705"/>
      <c r="AJ76" s="705"/>
      <c r="AK76" s="705"/>
      <c r="AL76" s="705"/>
      <c r="AM76" s="705"/>
      <c r="AN76" s="705"/>
      <c r="AO76" s="705"/>
      <c r="AP76" s="705"/>
      <c r="AQ76" s="705"/>
      <c r="AR76" s="705"/>
      <c r="AS76" s="705"/>
      <c r="AT76" s="705"/>
      <c r="AU76" s="705"/>
      <c r="AV76" s="705"/>
      <c r="AW76" s="705"/>
      <c r="AX76" s="705"/>
      <c r="AY76" s="705"/>
      <c r="AZ76" s="705"/>
      <c r="BA76" s="705"/>
      <c r="BB76" s="705"/>
      <c r="BC76" s="705"/>
      <c r="BD76" s="705"/>
      <c r="BE76" s="705"/>
      <c r="BF76" s="705"/>
      <c r="BG76" s="705"/>
      <c r="BH76" s="705"/>
      <c r="BI76" s="705"/>
      <c r="BJ76" s="705"/>
      <c r="BK76" s="705"/>
      <c r="BL76" s="705"/>
      <c r="BM76" s="705"/>
      <c r="BN76" s="705"/>
      <c r="BO76" s="705"/>
      <c r="BP76" s="705"/>
      <c r="BQ76" s="705"/>
      <c r="BR76" s="705"/>
      <c r="BS76" s="705"/>
      <c r="BT76" s="705"/>
      <c r="BU76" s="705"/>
      <c r="BV76" s="705"/>
      <c r="BW76" s="705"/>
      <c r="BX76" s="705"/>
      <c r="BY76" s="705"/>
      <c r="BZ76" s="705"/>
      <c r="CA76" s="705"/>
      <c r="CB76" s="705"/>
      <c r="CC76" s="705"/>
      <c r="CD76" s="705"/>
      <c r="CE76" s="705"/>
      <c r="CF76" s="705"/>
      <c r="CG76" s="705"/>
      <c r="CH76" s="705"/>
      <c r="CI76" s="705"/>
      <c r="CJ76" s="705"/>
      <c r="CK76" s="705"/>
      <c r="CL76" s="705"/>
      <c r="CM76" s="705"/>
      <c r="CN76" s="705"/>
      <c r="CO76" s="705"/>
      <c r="CP76" s="705"/>
      <c r="CQ76" s="705"/>
      <c r="CR76" s="705"/>
      <c r="CS76" s="705"/>
      <c r="CT76" s="705"/>
      <c r="CU76" s="705"/>
      <c r="CV76" s="705"/>
      <c r="CW76" s="705"/>
      <c r="CX76" s="705"/>
      <c r="CY76" s="705"/>
      <c r="CZ76" s="705"/>
      <c r="DA76" s="705"/>
      <c r="DB76" s="705"/>
      <c r="DC76" s="705"/>
      <c r="DD76" s="705"/>
      <c r="DE76" s="705"/>
      <c r="DF76" s="705"/>
      <c r="DG76" s="705"/>
      <c r="DH76" s="705"/>
      <c r="DI76" s="705"/>
      <c r="DJ76" s="705"/>
      <c r="DK76" s="705"/>
      <c r="DL76" s="705"/>
      <c r="DM76" s="705"/>
      <c r="DN76" s="705"/>
      <c r="DO76" s="705"/>
      <c r="DP76" s="705"/>
      <c r="DQ76" s="705"/>
      <c r="DR76" s="705"/>
      <c r="DS76" s="705"/>
      <c r="DT76" s="705"/>
      <c r="DU76" s="705"/>
      <c r="DV76" s="705"/>
      <c r="DW76" s="705"/>
      <c r="DX76" s="705"/>
      <c r="DY76" s="705"/>
      <c r="DZ76" s="705"/>
      <c r="EA76" s="705"/>
      <c r="EB76" s="705"/>
      <c r="EC76" s="705"/>
      <c r="ED76" s="705"/>
      <c r="EE76" s="705"/>
      <c r="EF76" s="705"/>
      <c r="EG76" s="705"/>
      <c r="EH76" s="705"/>
      <c r="EI76" s="705"/>
      <c r="EJ76" s="705"/>
      <c r="EK76" s="705"/>
      <c r="EL76" s="705"/>
      <c r="EM76" s="705"/>
      <c r="EN76" s="705"/>
      <c r="EO76" s="705"/>
      <c r="EP76" s="705"/>
      <c r="EQ76" s="705"/>
      <c r="ER76" s="705"/>
      <c r="ES76" s="705"/>
      <c r="ET76" s="705"/>
      <c r="EU76" s="705"/>
      <c r="EV76" s="705"/>
      <c r="EW76" s="705"/>
      <c r="EX76" s="705"/>
      <c r="EY76" s="705"/>
      <c r="EZ76" s="705"/>
      <c r="FA76" s="705"/>
      <c r="FB76" s="705"/>
      <c r="FC76" s="705"/>
      <c r="FD76" s="705"/>
      <c r="FE76" s="705"/>
      <c r="FF76" s="705"/>
      <c r="FG76" s="705"/>
      <c r="FH76" s="705"/>
      <c r="FI76" s="705"/>
      <c r="FJ76" s="705"/>
      <c r="FK76" s="705"/>
      <c r="FL76" s="705"/>
      <c r="FM76" s="705"/>
      <c r="FN76" s="705"/>
      <c r="FO76" s="705"/>
      <c r="FP76" s="705"/>
      <c r="FQ76" s="705"/>
      <c r="FR76" s="705"/>
      <c r="FS76" s="705"/>
      <c r="FT76" s="705"/>
      <c r="FU76" s="705"/>
      <c r="FV76" s="705"/>
      <c r="FW76" s="705"/>
      <c r="FX76" s="705"/>
      <c r="FY76" s="705"/>
      <c r="FZ76" s="705"/>
      <c r="GA76" s="705"/>
      <c r="GB76" s="705"/>
      <c r="GC76" s="705"/>
      <c r="GD76" s="705"/>
      <c r="GE76" s="705"/>
      <c r="GF76" s="705"/>
      <c r="GG76" s="705"/>
      <c r="GH76" s="705"/>
      <c r="GI76" s="705"/>
      <c r="GJ76" s="705"/>
      <c r="GK76" s="705"/>
      <c r="GL76" s="705"/>
      <c r="GM76" s="705"/>
      <c r="GN76" s="705"/>
      <c r="GO76" s="705"/>
      <c r="GP76" s="705"/>
      <c r="GQ76" s="705"/>
      <c r="GR76" s="705"/>
      <c r="GS76" s="705"/>
      <c r="GT76" s="705"/>
      <c r="GU76" s="705"/>
      <c r="GV76" s="705"/>
      <c r="GW76" s="705"/>
      <c r="GX76" s="705"/>
      <c r="GY76" s="705"/>
      <c r="GZ76" s="705"/>
      <c r="HA76" s="705"/>
      <c r="HB76" s="705"/>
      <c r="HC76" s="705"/>
      <c r="HD76" s="705"/>
      <c r="HE76" s="705"/>
      <c r="HF76" s="705"/>
      <c r="HG76" s="705"/>
      <c r="HH76" s="705"/>
      <c r="HI76" s="705"/>
      <c r="HJ76" s="705"/>
      <c r="HK76" s="705"/>
      <c r="HL76" s="705"/>
      <c r="HM76" s="705"/>
      <c r="HN76" s="705"/>
      <c r="HO76" s="705"/>
      <c r="HP76" s="705"/>
      <c r="HQ76" s="705"/>
      <c r="HR76" s="705"/>
      <c r="HS76" s="705"/>
      <c r="HT76" s="705"/>
      <c r="HU76" s="705"/>
      <c r="HV76" s="705"/>
      <c r="HW76" s="705"/>
    </row>
    <row r="77" spans="1:231" ht="14.1" customHeight="1">
      <c r="A77" s="705"/>
      <c r="B77" s="732"/>
      <c r="C77" s="732"/>
      <c r="E77" s="753"/>
      <c r="F77" s="705"/>
      <c r="G77" s="705"/>
      <c r="H77" s="705"/>
      <c r="I77" s="705"/>
      <c r="K77" s="724"/>
      <c r="L77" s="704"/>
      <c r="M77" s="704"/>
      <c r="N77" s="704"/>
      <c r="O77" s="704"/>
      <c r="P77" s="704"/>
      <c r="Q77" s="704"/>
      <c r="R77" s="704"/>
      <c r="S77" s="704"/>
      <c r="T77" s="704"/>
      <c r="U77" s="704"/>
      <c r="V77" s="704"/>
      <c r="W77" s="704"/>
      <c r="X77" s="705"/>
      <c r="Y77" s="705"/>
      <c r="Z77" s="705"/>
      <c r="AA77" s="705"/>
      <c r="AB77" s="705"/>
      <c r="AC77" s="705"/>
      <c r="AD77" s="705"/>
      <c r="AE77" s="705"/>
      <c r="AF77" s="705"/>
      <c r="AG77" s="705"/>
      <c r="AH77" s="705"/>
      <c r="AI77" s="705"/>
      <c r="AJ77" s="705"/>
      <c r="AK77" s="705"/>
      <c r="AL77" s="705"/>
      <c r="AM77" s="705"/>
      <c r="AN77" s="705"/>
      <c r="AO77" s="705"/>
      <c r="AP77" s="705"/>
      <c r="AQ77" s="705"/>
      <c r="AR77" s="705"/>
      <c r="AS77" s="705"/>
      <c r="AT77" s="705"/>
      <c r="AU77" s="705"/>
      <c r="AV77" s="705"/>
      <c r="AW77" s="705"/>
      <c r="AX77" s="705"/>
      <c r="AY77" s="705"/>
      <c r="AZ77" s="705"/>
      <c r="BA77" s="705"/>
      <c r="BB77" s="705"/>
      <c r="BC77" s="705"/>
      <c r="BD77" s="705"/>
      <c r="BE77" s="705"/>
      <c r="BF77" s="705"/>
      <c r="BG77" s="705"/>
      <c r="BH77" s="705"/>
      <c r="BI77" s="705"/>
      <c r="BJ77" s="705"/>
      <c r="BK77" s="705"/>
      <c r="BL77" s="705"/>
      <c r="BM77" s="705"/>
      <c r="BN77" s="705"/>
      <c r="BO77" s="705"/>
      <c r="BP77" s="705"/>
      <c r="BQ77" s="705"/>
      <c r="BR77" s="705"/>
      <c r="BS77" s="705"/>
      <c r="BT77" s="705"/>
      <c r="BU77" s="705"/>
      <c r="BV77" s="705"/>
      <c r="BW77" s="705"/>
      <c r="BX77" s="705"/>
      <c r="BY77" s="705"/>
      <c r="BZ77" s="705"/>
      <c r="CA77" s="705"/>
      <c r="CB77" s="705"/>
      <c r="CC77" s="705"/>
      <c r="CD77" s="705"/>
      <c r="CE77" s="705"/>
      <c r="CF77" s="705"/>
      <c r="CG77" s="705"/>
      <c r="CH77" s="705"/>
      <c r="CI77" s="705"/>
      <c r="CJ77" s="705"/>
      <c r="CK77" s="705"/>
      <c r="CL77" s="705"/>
      <c r="CM77" s="705"/>
      <c r="CN77" s="705"/>
      <c r="CO77" s="705"/>
      <c r="CP77" s="705"/>
      <c r="CQ77" s="705"/>
      <c r="CR77" s="705"/>
      <c r="CS77" s="705"/>
      <c r="CT77" s="705"/>
      <c r="CU77" s="705"/>
      <c r="CV77" s="705"/>
      <c r="CW77" s="705"/>
      <c r="CX77" s="705"/>
      <c r="CY77" s="705"/>
      <c r="CZ77" s="705"/>
      <c r="DA77" s="705"/>
      <c r="DB77" s="705"/>
      <c r="DC77" s="705"/>
      <c r="DD77" s="705"/>
      <c r="DE77" s="705"/>
      <c r="DF77" s="705"/>
      <c r="DG77" s="705"/>
      <c r="DH77" s="705"/>
      <c r="DI77" s="705"/>
      <c r="DJ77" s="705"/>
      <c r="DK77" s="705"/>
      <c r="DL77" s="705"/>
      <c r="DM77" s="705"/>
      <c r="DN77" s="705"/>
      <c r="DO77" s="705"/>
      <c r="DP77" s="705"/>
      <c r="DQ77" s="705"/>
      <c r="DR77" s="705"/>
      <c r="DS77" s="705"/>
      <c r="DT77" s="705"/>
      <c r="DU77" s="705"/>
      <c r="DV77" s="705"/>
      <c r="DW77" s="705"/>
      <c r="DX77" s="705"/>
      <c r="DY77" s="705"/>
      <c r="DZ77" s="705"/>
      <c r="EA77" s="705"/>
      <c r="EB77" s="705"/>
      <c r="EC77" s="705"/>
      <c r="ED77" s="705"/>
      <c r="EE77" s="705"/>
      <c r="EF77" s="705"/>
      <c r="EG77" s="705"/>
      <c r="EH77" s="705"/>
      <c r="EI77" s="705"/>
      <c r="EJ77" s="705"/>
      <c r="EK77" s="705"/>
      <c r="EL77" s="705"/>
      <c r="EM77" s="705"/>
      <c r="EN77" s="705"/>
      <c r="EO77" s="705"/>
      <c r="EP77" s="705"/>
      <c r="EQ77" s="705"/>
      <c r="ER77" s="705"/>
      <c r="ES77" s="705"/>
      <c r="ET77" s="705"/>
      <c r="EU77" s="705"/>
      <c r="EV77" s="705"/>
      <c r="EW77" s="705"/>
      <c r="EX77" s="705"/>
      <c r="EY77" s="705"/>
      <c r="EZ77" s="705"/>
      <c r="FA77" s="705"/>
      <c r="FB77" s="705"/>
      <c r="FC77" s="705"/>
      <c r="FD77" s="705"/>
      <c r="FE77" s="705"/>
      <c r="FF77" s="705"/>
      <c r="FG77" s="705"/>
      <c r="FH77" s="705"/>
      <c r="FI77" s="705"/>
      <c r="FJ77" s="705"/>
      <c r="FK77" s="705"/>
      <c r="FL77" s="705"/>
      <c r="FM77" s="705"/>
      <c r="FN77" s="705"/>
      <c r="FO77" s="705"/>
      <c r="FP77" s="705"/>
      <c r="FQ77" s="705"/>
      <c r="FR77" s="705"/>
      <c r="FS77" s="705"/>
      <c r="FT77" s="705"/>
      <c r="FU77" s="705"/>
      <c r="FV77" s="705"/>
      <c r="FW77" s="705"/>
      <c r="FX77" s="705"/>
      <c r="FY77" s="705"/>
      <c r="FZ77" s="705"/>
      <c r="GA77" s="705"/>
      <c r="GB77" s="705"/>
      <c r="GC77" s="705"/>
      <c r="GD77" s="705"/>
      <c r="GE77" s="705"/>
      <c r="GF77" s="705"/>
      <c r="GG77" s="705"/>
      <c r="GH77" s="705"/>
      <c r="GI77" s="705"/>
      <c r="GJ77" s="705"/>
      <c r="GK77" s="705"/>
      <c r="GL77" s="705"/>
      <c r="GM77" s="705"/>
      <c r="GN77" s="705"/>
      <c r="GO77" s="705"/>
      <c r="GP77" s="705"/>
      <c r="GQ77" s="705"/>
      <c r="GR77" s="705"/>
      <c r="GS77" s="705"/>
      <c r="GT77" s="705"/>
      <c r="GU77" s="705"/>
      <c r="GV77" s="705"/>
      <c r="GW77" s="705"/>
      <c r="GX77" s="705"/>
      <c r="GY77" s="705"/>
      <c r="GZ77" s="705"/>
      <c r="HA77" s="705"/>
      <c r="HB77" s="705"/>
      <c r="HC77" s="705"/>
      <c r="HD77" s="705"/>
      <c r="HE77" s="705"/>
      <c r="HF77" s="705"/>
      <c r="HG77" s="705"/>
      <c r="HH77" s="705"/>
      <c r="HI77" s="705"/>
      <c r="HJ77" s="705"/>
      <c r="HK77" s="705"/>
      <c r="HL77" s="705"/>
      <c r="HM77" s="705"/>
      <c r="HN77" s="705"/>
      <c r="HO77" s="705"/>
      <c r="HP77" s="705"/>
      <c r="HQ77" s="705"/>
      <c r="HR77" s="705"/>
      <c r="HS77" s="705"/>
      <c r="HT77" s="705"/>
      <c r="HU77" s="705"/>
      <c r="HV77" s="705"/>
      <c r="HW77" s="705"/>
    </row>
    <row r="78" spans="1:231" ht="14.1" customHeight="1">
      <c r="A78" s="705"/>
      <c r="B78" s="732"/>
      <c r="C78" s="732"/>
      <c r="E78" s="753"/>
      <c r="F78" s="705"/>
      <c r="G78" s="705"/>
      <c r="H78" s="705"/>
      <c r="I78" s="705"/>
      <c r="K78" s="724"/>
      <c r="L78" s="704"/>
      <c r="M78" s="704"/>
      <c r="N78" s="704"/>
      <c r="O78" s="704"/>
      <c r="P78" s="704"/>
      <c r="Q78" s="704"/>
      <c r="R78" s="704"/>
      <c r="S78" s="704"/>
      <c r="T78" s="704"/>
      <c r="U78" s="704"/>
      <c r="V78" s="704"/>
      <c r="W78" s="704"/>
      <c r="X78" s="705"/>
      <c r="Y78" s="705"/>
      <c r="Z78" s="705"/>
      <c r="AA78" s="705"/>
      <c r="AB78" s="705"/>
      <c r="AC78" s="705"/>
      <c r="AD78" s="705"/>
      <c r="AE78" s="705"/>
      <c r="AF78" s="705"/>
      <c r="AG78" s="705"/>
      <c r="AH78" s="705"/>
      <c r="AI78" s="705"/>
      <c r="AJ78" s="705"/>
      <c r="AK78" s="705"/>
      <c r="AL78" s="705"/>
      <c r="AM78" s="705"/>
      <c r="AN78" s="705"/>
      <c r="AO78" s="705"/>
      <c r="AP78" s="705"/>
      <c r="AQ78" s="705"/>
      <c r="AR78" s="705"/>
      <c r="AS78" s="705"/>
      <c r="AT78" s="705"/>
      <c r="AU78" s="705"/>
      <c r="AV78" s="705"/>
      <c r="AW78" s="705"/>
      <c r="AX78" s="705"/>
      <c r="AY78" s="705"/>
      <c r="AZ78" s="705"/>
      <c r="BA78" s="705"/>
      <c r="BB78" s="705"/>
      <c r="BC78" s="705"/>
      <c r="BD78" s="705"/>
      <c r="BE78" s="705"/>
      <c r="BF78" s="705"/>
      <c r="BG78" s="705"/>
      <c r="BH78" s="705"/>
      <c r="BI78" s="705"/>
      <c r="BJ78" s="705"/>
      <c r="BK78" s="705"/>
      <c r="BL78" s="705"/>
      <c r="BM78" s="705"/>
      <c r="BN78" s="705"/>
      <c r="BO78" s="705"/>
      <c r="BP78" s="705"/>
      <c r="BQ78" s="705"/>
      <c r="BR78" s="705"/>
      <c r="BS78" s="705"/>
      <c r="BT78" s="705"/>
      <c r="BU78" s="705"/>
      <c r="BV78" s="705"/>
      <c r="BW78" s="705"/>
      <c r="BX78" s="705"/>
      <c r="BY78" s="705"/>
      <c r="BZ78" s="705"/>
      <c r="CA78" s="705"/>
      <c r="CB78" s="705"/>
      <c r="CC78" s="705"/>
      <c r="CD78" s="705"/>
      <c r="CE78" s="705"/>
      <c r="CF78" s="705"/>
      <c r="CG78" s="705"/>
      <c r="CH78" s="705"/>
      <c r="CI78" s="705"/>
      <c r="CJ78" s="705"/>
      <c r="CK78" s="705"/>
      <c r="CL78" s="705"/>
      <c r="CM78" s="705"/>
      <c r="CN78" s="705"/>
      <c r="CO78" s="705"/>
      <c r="CP78" s="705"/>
      <c r="CQ78" s="705"/>
      <c r="CR78" s="705"/>
      <c r="CS78" s="705"/>
      <c r="CT78" s="705"/>
      <c r="CU78" s="705"/>
      <c r="CV78" s="705"/>
      <c r="CW78" s="705"/>
      <c r="CX78" s="705"/>
      <c r="CY78" s="705"/>
      <c r="CZ78" s="705"/>
      <c r="DA78" s="705"/>
      <c r="DB78" s="705"/>
      <c r="DC78" s="705"/>
      <c r="DD78" s="705"/>
      <c r="DE78" s="705"/>
      <c r="DF78" s="705"/>
      <c r="DG78" s="705"/>
      <c r="DH78" s="705"/>
      <c r="DI78" s="705"/>
      <c r="DJ78" s="705"/>
      <c r="DK78" s="705"/>
      <c r="DL78" s="705"/>
      <c r="DM78" s="705"/>
      <c r="DN78" s="705"/>
      <c r="DO78" s="705"/>
      <c r="DP78" s="705"/>
      <c r="DQ78" s="705"/>
      <c r="DR78" s="705"/>
      <c r="DS78" s="705"/>
      <c r="DT78" s="705"/>
      <c r="DU78" s="705"/>
      <c r="DV78" s="705"/>
      <c r="DW78" s="705"/>
      <c r="DX78" s="705"/>
      <c r="DY78" s="705"/>
      <c r="DZ78" s="705"/>
      <c r="EA78" s="705"/>
      <c r="EB78" s="705"/>
      <c r="EC78" s="705"/>
      <c r="ED78" s="705"/>
      <c r="EE78" s="705"/>
      <c r="EF78" s="705"/>
      <c r="EG78" s="705"/>
      <c r="EH78" s="705"/>
      <c r="EI78" s="705"/>
      <c r="EJ78" s="705"/>
      <c r="EK78" s="705"/>
      <c r="EL78" s="705"/>
      <c r="EM78" s="705"/>
      <c r="EN78" s="705"/>
      <c r="EO78" s="705"/>
      <c r="EP78" s="705"/>
      <c r="EQ78" s="705"/>
      <c r="ER78" s="705"/>
      <c r="ES78" s="705"/>
      <c r="ET78" s="705"/>
      <c r="EU78" s="705"/>
      <c r="EV78" s="705"/>
      <c r="EW78" s="705"/>
      <c r="EX78" s="705"/>
      <c r="EY78" s="705"/>
      <c r="EZ78" s="705"/>
      <c r="FA78" s="705"/>
      <c r="FB78" s="705"/>
      <c r="FC78" s="705"/>
      <c r="FD78" s="705"/>
      <c r="FE78" s="705"/>
      <c r="FF78" s="705"/>
      <c r="FG78" s="705"/>
      <c r="FH78" s="705"/>
      <c r="FI78" s="705"/>
      <c r="FJ78" s="705"/>
      <c r="FK78" s="705"/>
      <c r="FL78" s="705"/>
      <c r="FM78" s="705"/>
      <c r="FN78" s="705"/>
      <c r="FO78" s="705"/>
      <c r="FP78" s="705"/>
      <c r="FQ78" s="705"/>
      <c r="FR78" s="705"/>
      <c r="FS78" s="705"/>
      <c r="FT78" s="705"/>
      <c r="FU78" s="705"/>
      <c r="FV78" s="705"/>
      <c r="FW78" s="705"/>
      <c r="FX78" s="705"/>
      <c r="FY78" s="705"/>
      <c r="FZ78" s="705"/>
      <c r="GA78" s="705"/>
      <c r="GB78" s="705"/>
      <c r="GC78" s="705"/>
      <c r="GD78" s="705"/>
      <c r="GE78" s="705"/>
      <c r="GF78" s="705"/>
      <c r="GG78" s="705"/>
      <c r="GH78" s="705"/>
      <c r="GI78" s="705"/>
      <c r="GJ78" s="705"/>
      <c r="GK78" s="705"/>
      <c r="GL78" s="705"/>
      <c r="GM78" s="705"/>
      <c r="GN78" s="705"/>
      <c r="GO78" s="705"/>
      <c r="GP78" s="705"/>
      <c r="GQ78" s="705"/>
      <c r="GR78" s="705"/>
      <c r="GS78" s="705"/>
      <c r="GT78" s="705"/>
      <c r="GU78" s="705"/>
      <c r="GV78" s="705"/>
      <c r="GW78" s="705"/>
      <c r="GX78" s="705"/>
      <c r="GY78" s="705"/>
      <c r="GZ78" s="705"/>
      <c r="HA78" s="705"/>
      <c r="HB78" s="705"/>
      <c r="HC78" s="705"/>
      <c r="HD78" s="705"/>
      <c r="HE78" s="705"/>
      <c r="HF78" s="705"/>
      <c r="HG78" s="705"/>
      <c r="HH78" s="705"/>
      <c r="HI78" s="705"/>
      <c r="HJ78" s="705"/>
      <c r="HK78" s="705"/>
      <c r="HL78" s="705"/>
      <c r="HM78" s="705"/>
      <c r="HN78" s="705"/>
      <c r="HO78" s="705"/>
      <c r="HP78" s="705"/>
      <c r="HQ78" s="705"/>
      <c r="HR78" s="705"/>
      <c r="HS78" s="705"/>
      <c r="HT78" s="705"/>
      <c r="HU78" s="705"/>
      <c r="HV78" s="705"/>
      <c r="HW78" s="705"/>
    </row>
    <row r="79" spans="1:231" ht="14.1" customHeight="1">
      <c r="A79" s="705"/>
      <c r="B79" s="732"/>
      <c r="C79" s="732"/>
      <c r="E79" s="753"/>
      <c r="F79" s="705"/>
      <c r="G79" s="705"/>
      <c r="H79" s="705"/>
      <c r="I79" s="705"/>
      <c r="K79" s="724"/>
      <c r="L79" s="704"/>
      <c r="M79" s="704"/>
      <c r="N79" s="704"/>
      <c r="O79" s="704"/>
      <c r="P79" s="704"/>
      <c r="Q79" s="704"/>
      <c r="R79" s="704"/>
      <c r="S79" s="704"/>
      <c r="T79" s="704"/>
      <c r="U79" s="704"/>
      <c r="V79" s="704"/>
      <c r="W79" s="704"/>
      <c r="X79" s="705"/>
      <c r="Y79" s="705"/>
      <c r="Z79" s="705"/>
      <c r="AA79" s="705"/>
      <c r="AB79" s="705"/>
      <c r="AC79" s="705"/>
      <c r="AD79" s="705"/>
      <c r="AE79" s="705"/>
      <c r="AF79" s="705"/>
      <c r="AG79" s="705"/>
      <c r="AH79" s="705"/>
      <c r="AI79" s="705"/>
      <c r="AJ79" s="705"/>
      <c r="AK79" s="705"/>
      <c r="AL79" s="705"/>
      <c r="AM79" s="705"/>
      <c r="AN79" s="705"/>
      <c r="AO79" s="705"/>
      <c r="AP79" s="705"/>
      <c r="AQ79" s="705"/>
      <c r="AR79" s="705"/>
      <c r="AS79" s="705"/>
      <c r="AT79" s="705"/>
      <c r="AU79" s="705"/>
      <c r="AV79" s="705"/>
      <c r="AW79" s="705"/>
      <c r="AX79" s="705"/>
      <c r="AY79" s="705"/>
      <c r="AZ79" s="705"/>
      <c r="BA79" s="705"/>
      <c r="BB79" s="705"/>
      <c r="BC79" s="705"/>
      <c r="BD79" s="705"/>
      <c r="BE79" s="705"/>
      <c r="BF79" s="705"/>
      <c r="BG79" s="705"/>
      <c r="BH79" s="705"/>
      <c r="BI79" s="705"/>
      <c r="BJ79" s="705"/>
      <c r="BK79" s="705"/>
      <c r="BL79" s="705"/>
      <c r="BM79" s="705"/>
      <c r="BN79" s="705"/>
      <c r="BO79" s="705"/>
      <c r="BP79" s="705"/>
      <c r="BQ79" s="705"/>
      <c r="BR79" s="705"/>
      <c r="BS79" s="705"/>
      <c r="BT79" s="705"/>
      <c r="BU79" s="705"/>
      <c r="BV79" s="705"/>
      <c r="BW79" s="705"/>
      <c r="BX79" s="705"/>
      <c r="BY79" s="705"/>
      <c r="BZ79" s="705"/>
      <c r="CA79" s="705"/>
      <c r="CB79" s="705"/>
      <c r="CC79" s="705"/>
      <c r="CD79" s="705"/>
      <c r="CE79" s="705"/>
      <c r="CF79" s="705"/>
      <c r="CG79" s="705"/>
      <c r="CH79" s="705"/>
      <c r="CI79" s="705"/>
      <c r="CJ79" s="705"/>
      <c r="CK79" s="705"/>
      <c r="CL79" s="705"/>
      <c r="CM79" s="705"/>
      <c r="CN79" s="705"/>
      <c r="CO79" s="705"/>
      <c r="CP79" s="705"/>
      <c r="CQ79" s="705"/>
      <c r="CR79" s="705"/>
      <c r="CS79" s="705"/>
      <c r="CT79" s="705"/>
      <c r="CU79" s="705"/>
      <c r="CV79" s="705"/>
      <c r="CW79" s="705"/>
      <c r="CX79" s="705"/>
      <c r="CY79" s="705"/>
      <c r="CZ79" s="705"/>
      <c r="DA79" s="705"/>
      <c r="DB79" s="705"/>
      <c r="DC79" s="705"/>
      <c r="DD79" s="705"/>
      <c r="DE79" s="705"/>
      <c r="DF79" s="705"/>
      <c r="DG79" s="705"/>
      <c r="DH79" s="705"/>
      <c r="DI79" s="705"/>
      <c r="DJ79" s="705"/>
      <c r="DK79" s="705"/>
      <c r="DL79" s="705"/>
      <c r="DM79" s="705"/>
      <c r="DN79" s="705"/>
      <c r="DO79" s="705"/>
      <c r="DP79" s="705"/>
      <c r="DQ79" s="705"/>
      <c r="DR79" s="705"/>
      <c r="DS79" s="705"/>
      <c r="DT79" s="705"/>
      <c r="DU79" s="705"/>
      <c r="DV79" s="705"/>
      <c r="DW79" s="705"/>
      <c r="DX79" s="705"/>
      <c r="DY79" s="705"/>
      <c r="DZ79" s="705"/>
      <c r="EA79" s="705"/>
      <c r="EB79" s="705"/>
      <c r="EC79" s="705"/>
      <c r="ED79" s="705"/>
      <c r="EE79" s="705"/>
      <c r="EF79" s="705"/>
      <c r="EG79" s="705"/>
      <c r="EH79" s="705"/>
      <c r="EI79" s="705"/>
      <c r="EJ79" s="705"/>
      <c r="EK79" s="705"/>
      <c r="EL79" s="705"/>
      <c r="EM79" s="705"/>
      <c r="EN79" s="705"/>
      <c r="EO79" s="705"/>
      <c r="EP79" s="705"/>
      <c r="EQ79" s="705"/>
      <c r="ER79" s="705"/>
      <c r="ES79" s="705"/>
      <c r="ET79" s="705"/>
      <c r="EU79" s="705"/>
      <c r="EV79" s="705"/>
      <c r="EW79" s="705"/>
      <c r="EX79" s="705"/>
      <c r="EY79" s="705"/>
      <c r="EZ79" s="705"/>
      <c r="FA79" s="705"/>
      <c r="FB79" s="705"/>
      <c r="FC79" s="705"/>
      <c r="FD79" s="705"/>
      <c r="FE79" s="705"/>
      <c r="FF79" s="705"/>
      <c r="FG79" s="705"/>
      <c r="FH79" s="705"/>
      <c r="FI79" s="705"/>
      <c r="FJ79" s="705"/>
      <c r="FK79" s="705"/>
      <c r="FL79" s="705"/>
      <c r="FM79" s="705"/>
      <c r="FN79" s="705"/>
      <c r="FO79" s="705"/>
      <c r="FP79" s="705"/>
      <c r="FQ79" s="705"/>
      <c r="FR79" s="705"/>
      <c r="FS79" s="705"/>
      <c r="FT79" s="705"/>
      <c r="FU79" s="705"/>
      <c r="FV79" s="705"/>
      <c r="FW79" s="705"/>
      <c r="FX79" s="705"/>
      <c r="FY79" s="705"/>
      <c r="FZ79" s="705"/>
      <c r="GA79" s="705"/>
      <c r="GB79" s="705"/>
      <c r="GC79" s="705"/>
      <c r="GD79" s="705"/>
      <c r="GE79" s="705"/>
      <c r="GF79" s="705"/>
      <c r="GG79" s="705"/>
      <c r="GH79" s="705"/>
      <c r="GI79" s="705"/>
      <c r="GJ79" s="705"/>
      <c r="GK79" s="705"/>
      <c r="GL79" s="705"/>
      <c r="GM79" s="705"/>
      <c r="GN79" s="705"/>
      <c r="GO79" s="705"/>
      <c r="GP79" s="705"/>
      <c r="GQ79" s="705"/>
      <c r="GR79" s="705"/>
      <c r="GS79" s="705"/>
      <c r="GT79" s="705"/>
      <c r="GU79" s="705"/>
      <c r="GV79" s="705"/>
      <c r="GW79" s="705"/>
      <c r="GX79" s="705"/>
      <c r="GY79" s="705"/>
      <c r="GZ79" s="705"/>
      <c r="HA79" s="705"/>
      <c r="HB79" s="705"/>
      <c r="HC79" s="705"/>
      <c r="HD79" s="705"/>
      <c r="HE79" s="705"/>
      <c r="HF79" s="705"/>
      <c r="HG79" s="705"/>
      <c r="HH79" s="705"/>
      <c r="HI79" s="705"/>
      <c r="HJ79" s="705"/>
      <c r="HK79" s="705"/>
      <c r="HL79" s="705"/>
      <c r="HM79" s="705"/>
      <c r="HN79" s="705"/>
      <c r="HO79" s="705"/>
      <c r="HP79" s="705"/>
      <c r="HQ79" s="705"/>
      <c r="HR79" s="705"/>
      <c r="HS79" s="705"/>
      <c r="HT79" s="705"/>
      <c r="HU79" s="705"/>
      <c r="HV79" s="705"/>
      <c r="HW79" s="705"/>
    </row>
    <row r="80" spans="1:231" ht="14.1" customHeight="1">
      <c r="A80" s="705"/>
      <c r="B80" s="732"/>
      <c r="C80" s="732"/>
      <c r="E80" s="753"/>
      <c r="F80" s="705"/>
      <c r="G80" s="705"/>
      <c r="H80" s="705"/>
      <c r="I80" s="705"/>
      <c r="K80" s="724"/>
      <c r="L80" s="704"/>
      <c r="M80" s="704"/>
      <c r="N80" s="704"/>
      <c r="O80" s="704"/>
      <c r="P80" s="704"/>
      <c r="Q80" s="704"/>
      <c r="R80" s="704"/>
      <c r="S80" s="704"/>
      <c r="T80" s="704"/>
      <c r="U80" s="704"/>
      <c r="V80" s="704"/>
      <c r="W80" s="704"/>
      <c r="X80" s="705"/>
      <c r="Y80" s="705"/>
      <c r="Z80" s="705"/>
      <c r="AA80" s="705"/>
      <c r="AB80" s="705"/>
      <c r="AC80" s="705"/>
      <c r="AD80" s="705"/>
      <c r="AE80" s="705"/>
      <c r="AF80" s="705"/>
      <c r="AG80" s="705"/>
      <c r="AH80" s="705"/>
      <c r="AI80" s="705"/>
      <c r="AJ80" s="705"/>
      <c r="AK80" s="705"/>
      <c r="AL80" s="705"/>
      <c r="AM80" s="705"/>
      <c r="AN80" s="705"/>
      <c r="AO80" s="705"/>
      <c r="AP80" s="705"/>
      <c r="AQ80" s="705"/>
      <c r="AR80" s="705"/>
      <c r="AS80" s="705"/>
      <c r="AT80" s="705"/>
      <c r="AU80" s="705"/>
      <c r="AV80" s="705"/>
      <c r="AW80" s="705"/>
      <c r="AX80" s="705"/>
      <c r="AY80" s="705"/>
      <c r="AZ80" s="705"/>
      <c r="BA80" s="705"/>
      <c r="BB80" s="705"/>
      <c r="BC80" s="705"/>
      <c r="BD80" s="705"/>
      <c r="BE80" s="705"/>
      <c r="BF80" s="705"/>
      <c r="BG80" s="705"/>
      <c r="BH80" s="705"/>
      <c r="BI80" s="705"/>
      <c r="BJ80" s="705"/>
      <c r="BK80" s="705"/>
      <c r="BL80" s="705"/>
      <c r="BM80" s="705"/>
      <c r="BN80" s="705"/>
      <c r="BO80" s="705"/>
      <c r="BP80" s="705"/>
      <c r="BQ80" s="705"/>
      <c r="BR80" s="705"/>
      <c r="BS80" s="705"/>
      <c r="BT80" s="705"/>
      <c r="BU80" s="705"/>
      <c r="BV80" s="705"/>
      <c r="BW80" s="705"/>
      <c r="BX80" s="705"/>
      <c r="BY80" s="705"/>
      <c r="BZ80" s="705"/>
      <c r="CA80" s="705"/>
      <c r="CB80" s="705"/>
      <c r="CC80" s="705"/>
      <c r="CD80" s="705"/>
      <c r="CE80" s="705"/>
      <c r="CF80" s="705"/>
      <c r="CG80" s="705"/>
      <c r="CH80" s="705"/>
      <c r="CI80" s="705"/>
      <c r="CJ80" s="705"/>
      <c r="CK80" s="705"/>
      <c r="CL80" s="705"/>
      <c r="CM80" s="705"/>
      <c r="CN80" s="705"/>
      <c r="CO80" s="705"/>
      <c r="CP80" s="705"/>
      <c r="CQ80" s="705"/>
      <c r="CR80" s="705"/>
      <c r="CS80" s="705"/>
      <c r="CT80" s="705"/>
      <c r="CU80" s="705"/>
      <c r="CV80" s="705"/>
      <c r="CW80" s="705"/>
      <c r="CX80" s="705"/>
      <c r="CY80" s="705"/>
      <c r="CZ80" s="705"/>
      <c r="DA80" s="705"/>
      <c r="DB80" s="705"/>
      <c r="DC80" s="705"/>
      <c r="DD80" s="705"/>
      <c r="DE80" s="705"/>
      <c r="DF80" s="705"/>
      <c r="DG80" s="705"/>
      <c r="DH80" s="705"/>
      <c r="DI80" s="705"/>
      <c r="DJ80" s="705"/>
      <c r="DK80" s="705"/>
      <c r="DL80" s="705"/>
      <c r="DM80" s="705"/>
      <c r="DN80" s="705"/>
      <c r="DO80" s="705"/>
      <c r="DP80" s="705"/>
      <c r="DQ80" s="705"/>
      <c r="DR80" s="705"/>
      <c r="DS80" s="705"/>
      <c r="DT80" s="705"/>
      <c r="DU80" s="705"/>
      <c r="DV80" s="705"/>
      <c r="DW80" s="705"/>
      <c r="DX80" s="705"/>
      <c r="DY80" s="705"/>
      <c r="DZ80" s="705"/>
      <c r="EA80" s="705"/>
      <c r="EB80" s="705"/>
      <c r="EC80" s="705"/>
      <c r="ED80" s="705"/>
      <c r="EE80" s="705"/>
      <c r="EF80" s="705"/>
      <c r="EG80" s="705"/>
      <c r="EH80" s="705"/>
      <c r="EI80" s="705"/>
      <c r="EJ80" s="705"/>
      <c r="EK80" s="705"/>
      <c r="EL80" s="705"/>
      <c r="EM80" s="705"/>
      <c r="EN80" s="705"/>
      <c r="EO80" s="705"/>
      <c r="EP80" s="705"/>
      <c r="EQ80" s="705"/>
      <c r="ER80" s="705"/>
      <c r="ES80" s="705"/>
      <c r="ET80" s="705"/>
      <c r="EU80" s="705"/>
      <c r="EV80" s="705"/>
      <c r="EW80" s="705"/>
      <c r="EX80" s="705"/>
      <c r="EY80" s="705"/>
      <c r="EZ80" s="705"/>
      <c r="FA80" s="705"/>
      <c r="FB80" s="705"/>
      <c r="FC80" s="705"/>
      <c r="FD80" s="705"/>
      <c r="FE80" s="705"/>
      <c r="FF80" s="705"/>
      <c r="FG80" s="705"/>
      <c r="FH80" s="705"/>
      <c r="FI80" s="705"/>
      <c r="FJ80" s="705"/>
      <c r="FK80" s="705"/>
      <c r="FL80" s="705"/>
      <c r="FM80" s="705"/>
      <c r="FN80" s="705"/>
      <c r="FO80" s="705"/>
      <c r="FP80" s="705"/>
      <c r="FQ80" s="705"/>
      <c r="FR80" s="705"/>
      <c r="FS80" s="705"/>
      <c r="FT80" s="705"/>
      <c r="FU80" s="705"/>
      <c r="FV80" s="705"/>
      <c r="FW80" s="705"/>
      <c r="FX80" s="705"/>
      <c r="FY80" s="705"/>
      <c r="FZ80" s="705"/>
      <c r="GA80" s="705"/>
      <c r="GB80" s="705"/>
      <c r="GC80" s="705"/>
      <c r="GD80" s="705"/>
      <c r="GE80" s="705"/>
      <c r="GF80" s="705"/>
      <c r="GG80" s="705"/>
      <c r="GH80" s="705"/>
      <c r="GI80" s="705"/>
      <c r="GJ80" s="705"/>
      <c r="GK80" s="705"/>
      <c r="GL80" s="705"/>
      <c r="GM80" s="705"/>
      <c r="GN80" s="705"/>
      <c r="GO80" s="705"/>
      <c r="GP80" s="705"/>
      <c r="GQ80" s="705"/>
      <c r="GR80" s="705"/>
      <c r="GS80" s="705"/>
      <c r="GT80" s="705"/>
      <c r="GU80" s="705"/>
      <c r="GV80" s="705"/>
      <c r="GW80" s="705"/>
      <c r="GX80" s="705"/>
      <c r="GY80" s="705"/>
      <c r="GZ80" s="705"/>
      <c r="HA80" s="705"/>
      <c r="HB80" s="705"/>
      <c r="HC80" s="705"/>
      <c r="HD80" s="705"/>
      <c r="HE80" s="705"/>
      <c r="HF80" s="705"/>
      <c r="HG80" s="705"/>
      <c r="HH80" s="705"/>
      <c r="HI80" s="705"/>
      <c r="HJ80" s="705"/>
      <c r="HK80" s="705"/>
      <c r="HL80" s="705"/>
      <c r="HM80" s="705"/>
      <c r="HN80" s="705"/>
      <c r="HO80" s="705"/>
      <c r="HP80" s="705"/>
      <c r="HQ80" s="705"/>
      <c r="HR80" s="705"/>
      <c r="HS80" s="705"/>
      <c r="HT80" s="705"/>
      <c r="HU80" s="705"/>
      <c r="HV80" s="705"/>
      <c r="HW80" s="705"/>
    </row>
    <row r="81" spans="1:231" ht="14.1" customHeight="1">
      <c r="A81" s="705"/>
      <c r="B81" s="732"/>
      <c r="C81" s="732"/>
      <c r="E81" s="753"/>
      <c r="F81" s="705"/>
      <c r="G81" s="705"/>
      <c r="H81" s="705"/>
      <c r="I81" s="705"/>
      <c r="K81" s="724"/>
      <c r="L81" s="704"/>
      <c r="M81" s="704"/>
      <c r="N81" s="704"/>
      <c r="O81" s="704"/>
      <c r="P81" s="704"/>
      <c r="Q81" s="704"/>
      <c r="R81" s="704"/>
      <c r="S81" s="704"/>
      <c r="T81" s="704"/>
      <c r="U81" s="704"/>
      <c r="V81" s="704"/>
      <c r="W81" s="704"/>
      <c r="X81" s="705"/>
      <c r="Y81" s="705"/>
      <c r="Z81" s="705"/>
      <c r="AA81" s="705"/>
      <c r="AB81" s="705"/>
      <c r="AC81" s="705"/>
      <c r="AD81" s="705"/>
      <c r="AE81" s="705"/>
      <c r="AF81" s="705"/>
      <c r="AG81" s="705"/>
      <c r="AH81" s="705"/>
      <c r="AI81" s="705"/>
      <c r="AJ81" s="705"/>
      <c r="AK81" s="705"/>
      <c r="AL81" s="705"/>
      <c r="AM81" s="705"/>
      <c r="AN81" s="705"/>
      <c r="AO81" s="705"/>
      <c r="AP81" s="705"/>
      <c r="AQ81" s="705"/>
      <c r="AR81" s="705"/>
      <c r="AS81" s="705"/>
      <c r="AT81" s="705"/>
      <c r="AU81" s="705"/>
      <c r="AV81" s="705"/>
      <c r="AW81" s="705"/>
      <c r="AX81" s="705"/>
      <c r="AY81" s="705"/>
      <c r="AZ81" s="705"/>
      <c r="BA81" s="705"/>
      <c r="BB81" s="705"/>
      <c r="BC81" s="705"/>
      <c r="BD81" s="705"/>
      <c r="BE81" s="705"/>
      <c r="BF81" s="705"/>
      <c r="BG81" s="705"/>
      <c r="BH81" s="705"/>
      <c r="BI81" s="705"/>
      <c r="BJ81" s="705"/>
      <c r="BK81" s="705"/>
      <c r="BL81" s="705"/>
      <c r="BM81" s="705"/>
      <c r="BN81" s="705"/>
      <c r="BO81" s="705"/>
      <c r="BP81" s="705"/>
      <c r="BQ81" s="705"/>
      <c r="BR81" s="705"/>
      <c r="BS81" s="705"/>
      <c r="BT81" s="705"/>
      <c r="BU81" s="705"/>
      <c r="BV81" s="705"/>
      <c r="BW81" s="705"/>
      <c r="BX81" s="705"/>
      <c r="BY81" s="705"/>
      <c r="BZ81" s="705"/>
      <c r="CA81" s="705"/>
      <c r="CB81" s="705"/>
      <c r="CC81" s="705"/>
      <c r="CD81" s="705"/>
      <c r="CE81" s="705"/>
      <c r="CF81" s="705"/>
      <c r="CG81" s="705"/>
      <c r="CH81" s="705"/>
      <c r="CI81" s="705"/>
      <c r="CJ81" s="705"/>
      <c r="CK81" s="705"/>
      <c r="CL81" s="705"/>
      <c r="CM81" s="705"/>
      <c r="CN81" s="705"/>
      <c r="CO81" s="705"/>
      <c r="CP81" s="705"/>
      <c r="CQ81" s="705"/>
      <c r="CR81" s="705"/>
      <c r="CS81" s="705"/>
      <c r="CT81" s="705"/>
      <c r="CU81" s="705"/>
      <c r="CV81" s="705"/>
      <c r="CW81" s="705"/>
      <c r="CX81" s="705"/>
      <c r="CY81" s="705"/>
      <c r="CZ81" s="705"/>
      <c r="DA81" s="705"/>
      <c r="DB81" s="705"/>
      <c r="DC81" s="705"/>
      <c r="DD81" s="705"/>
      <c r="DE81" s="705"/>
      <c r="DF81" s="705"/>
      <c r="DG81" s="705"/>
      <c r="DH81" s="705"/>
      <c r="DI81" s="705"/>
      <c r="DJ81" s="705"/>
      <c r="DK81" s="705"/>
      <c r="DL81" s="705"/>
      <c r="DM81" s="705"/>
      <c r="DN81" s="705"/>
      <c r="DO81" s="705"/>
      <c r="DP81" s="705"/>
      <c r="DQ81" s="705"/>
      <c r="DR81" s="705"/>
      <c r="DS81" s="705"/>
      <c r="DT81" s="705"/>
      <c r="DU81" s="705"/>
      <c r="DV81" s="705"/>
      <c r="DW81" s="705"/>
      <c r="DX81" s="705"/>
      <c r="DY81" s="705"/>
      <c r="DZ81" s="705"/>
      <c r="EA81" s="705"/>
      <c r="EB81" s="705"/>
      <c r="EC81" s="705"/>
      <c r="ED81" s="705"/>
      <c r="EE81" s="705"/>
      <c r="EF81" s="705"/>
      <c r="EG81" s="705"/>
      <c r="EH81" s="705"/>
      <c r="EI81" s="705"/>
      <c r="EJ81" s="705"/>
      <c r="EK81" s="705"/>
      <c r="EL81" s="705"/>
      <c r="EM81" s="705"/>
      <c r="EN81" s="705"/>
      <c r="EO81" s="705"/>
      <c r="EP81" s="705"/>
      <c r="EQ81" s="705"/>
      <c r="ER81" s="705"/>
      <c r="ES81" s="705"/>
      <c r="ET81" s="705"/>
      <c r="EU81" s="705"/>
      <c r="EV81" s="705"/>
      <c r="EW81" s="705"/>
      <c r="EX81" s="705"/>
      <c r="EY81" s="705"/>
      <c r="EZ81" s="705"/>
      <c r="FA81" s="705"/>
      <c r="FB81" s="705"/>
      <c r="FC81" s="705"/>
      <c r="FD81" s="705"/>
      <c r="FE81" s="705"/>
      <c r="FF81" s="705"/>
      <c r="FG81" s="705"/>
      <c r="FH81" s="705"/>
      <c r="FI81" s="705"/>
      <c r="FJ81" s="705"/>
      <c r="FK81" s="705"/>
      <c r="FL81" s="705"/>
      <c r="FM81" s="705"/>
      <c r="FN81" s="705"/>
      <c r="FO81" s="705"/>
      <c r="FP81" s="705"/>
      <c r="FQ81" s="705"/>
      <c r="FR81" s="705"/>
      <c r="FS81" s="705"/>
      <c r="FT81" s="705"/>
      <c r="FU81" s="705"/>
      <c r="FV81" s="705"/>
      <c r="FW81" s="705"/>
      <c r="FX81" s="705"/>
      <c r="FY81" s="705"/>
      <c r="FZ81" s="705"/>
      <c r="GA81" s="705"/>
      <c r="GB81" s="705"/>
      <c r="GC81" s="705"/>
      <c r="GD81" s="705"/>
      <c r="GE81" s="705"/>
      <c r="GF81" s="705"/>
      <c r="GG81" s="705"/>
      <c r="GH81" s="705"/>
      <c r="GI81" s="705"/>
      <c r="GJ81" s="705"/>
      <c r="GK81" s="705"/>
      <c r="GL81" s="705"/>
      <c r="GM81" s="705"/>
      <c r="GN81" s="705"/>
      <c r="GO81" s="705"/>
      <c r="GP81" s="705"/>
      <c r="GQ81" s="705"/>
      <c r="GR81" s="705"/>
      <c r="GS81" s="705"/>
      <c r="GT81" s="705"/>
      <c r="GU81" s="705"/>
      <c r="GV81" s="705"/>
      <c r="GW81" s="705"/>
      <c r="GX81" s="705"/>
      <c r="GY81" s="705"/>
      <c r="GZ81" s="705"/>
      <c r="HA81" s="705"/>
      <c r="HB81" s="705"/>
      <c r="HC81" s="705"/>
      <c r="HD81" s="705"/>
      <c r="HE81" s="705"/>
      <c r="HF81" s="705"/>
      <c r="HG81" s="705"/>
      <c r="HH81" s="705"/>
      <c r="HI81" s="705"/>
      <c r="HJ81" s="705"/>
      <c r="HK81" s="705"/>
      <c r="HL81" s="705"/>
      <c r="HM81" s="705"/>
      <c r="HN81" s="705"/>
      <c r="HO81" s="705"/>
      <c r="HP81" s="705"/>
      <c r="HQ81" s="705"/>
      <c r="HR81" s="705"/>
      <c r="HS81" s="705"/>
      <c r="HT81" s="705"/>
      <c r="HU81" s="705"/>
      <c r="HV81" s="705"/>
      <c r="HW81" s="705"/>
    </row>
    <row r="82" spans="1:231" ht="14.1" customHeight="1">
      <c r="A82" s="705"/>
      <c r="B82" s="732"/>
      <c r="C82" s="732"/>
      <c r="E82" s="753"/>
      <c r="F82" s="705"/>
      <c r="G82" s="705"/>
      <c r="H82" s="705"/>
      <c r="I82" s="705"/>
      <c r="K82" s="724"/>
      <c r="L82" s="704"/>
      <c r="M82" s="704"/>
      <c r="N82" s="704"/>
      <c r="O82" s="704"/>
      <c r="P82" s="704"/>
      <c r="Q82" s="704"/>
      <c r="R82" s="704"/>
      <c r="S82" s="704"/>
      <c r="T82" s="704"/>
      <c r="U82" s="704"/>
      <c r="V82" s="704"/>
      <c r="W82" s="704"/>
      <c r="X82" s="705"/>
      <c r="Y82" s="705"/>
      <c r="Z82" s="705"/>
      <c r="AA82" s="705"/>
      <c r="AB82" s="705"/>
      <c r="AC82" s="705"/>
      <c r="AD82" s="705"/>
      <c r="AE82" s="705"/>
      <c r="AF82" s="705"/>
      <c r="AG82" s="705"/>
      <c r="AH82" s="705"/>
      <c r="AI82" s="705"/>
      <c r="AJ82" s="705"/>
      <c r="AK82" s="705"/>
      <c r="AL82" s="705"/>
      <c r="AM82" s="705"/>
      <c r="AN82" s="705"/>
      <c r="AO82" s="705"/>
      <c r="AP82" s="705"/>
      <c r="AQ82" s="705"/>
      <c r="AR82" s="705"/>
      <c r="AS82" s="705"/>
      <c r="AT82" s="705"/>
      <c r="AU82" s="705"/>
      <c r="AV82" s="705"/>
      <c r="AW82" s="705"/>
      <c r="AX82" s="705"/>
      <c r="AY82" s="705"/>
      <c r="AZ82" s="705"/>
      <c r="BA82" s="705"/>
      <c r="BB82" s="705"/>
      <c r="BC82" s="705"/>
      <c r="BD82" s="705"/>
      <c r="BE82" s="705"/>
      <c r="BF82" s="705"/>
      <c r="BG82" s="705"/>
      <c r="BH82" s="705"/>
      <c r="BI82" s="705"/>
      <c r="BJ82" s="705"/>
      <c r="BK82" s="705"/>
      <c r="BL82" s="705"/>
      <c r="BM82" s="705"/>
      <c r="BN82" s="705"/>
      <c r="BO82" s="705"/>
      <c r="BP82" s="705"/>
      <c r="BQ82" s="705"/>
      <c r="BR82" s="705"/>
      <c r="BS82" s="705"/>
      <c r="BT82" s="705"/>
      <c r="BU82" s="705"/>
      <c r="BV82" s="705"/>
      <c r="BW82" s="705"/>
      <c r="BX82" s="705"/>
      <c r="BY82" s="705"/>
      <c r="BZ82" s="705"/>
      <c r="CA82" s="705"/>
      <c r="CB82" s="705"/>
      <c r="CC82" s="705"/>
      <c r="CD82" s="705"/>
      <c r="CE82" s="705"/>
      <c r="CF82" s="705"/>
      <c r="CG82" s="705"/>
      <c r="CH82" s="705"/>
      <c r="CI82" s="705"/>
      <c r="CJ82" s="705"/>
      <c r="CK82" s="705"/>
      <c r="CL82" s="705"/>
      <c r="CM82" s="705"/>
      <c r="CN82" s="705"/>
      <c r="CO82" s="705"/>
      <c r="CP82" s="705"/>
      <c r="CQ82" s="705"/>
      <c r="CR82" s="705"/>
      <c r="CS82" s="705"/>
      <c r="CT82" s="705"/>
      <c r="CU82" s="705"/>
      <c r="CV82" s="705"/>
      <c r="CW82" s="705"/>
      <c r="CX82" s="705"/>
      <c r="CY82" s="705"/>
      <c r="CZ82" s="705"/>
      <c r="DA82" s="705"/>
      <c r="DB82" s="705"/>
      <c r="DC82" s="705"/>
      <c r="DD82" s="705"/>
      <c r="DE82" s="705"/>
      <c r="DF82" s="705"/>
      <c r="DG82" s="705"/>
      <c r="DH82" s="705"/>
      <c r="DI82" s="705"/>
      <c r="DJ82" s="705"/>
      <c r="DK82" s="705"/>
      <c r="DL82" s="705"/>
      <c r="DM82" s="705"/>
      <c r="DN82" s="705"/>
      <c r="DO82" s="705"/>
      <c r="DP82" s="705"/>
      <c r="DQ82" s="705"/>
      <c r="DR82" s="705"/>
      <c r="DS82" s="705"/>
      <c r="DT82" s="705"/>
      <c r="DU82" s="705"/>
      <c r="DV82" s="705"/>
      <c r="DW82" s="705"/>
      <c r="DX82" s="705"/>
      <c r="DY82" s="705"/>
      <c r="DZ82" s="705"/>
      <c r="EA82" s="705"/>
      <c r="EB82" s="705"/>
      <c r="EC82" s="705"/>
      <c r="ED82" s="705"/>
      <c r="EE82" s="705"/>
      <c r="EF82" s="705"/>
      <c r="EG82" s="705"/>
      <c r="EH82" s="705"/>
      <c r="EI82" s="705"/>
      <c r="EJ82" s="705"/>
      <c r="EK82" s="705"/>
      <c r="EL82" s="705"/>
      <c r="EM82" s="705"/>
      <c r="EN82" s="705"/>
      <c r="EO82" s="705"/>
      <c r="EP82" s="705"/>
      <c r="EQ82" s="705"/>
      <c r="ER82" s="705"/>
      <c r="ES82" s="705"/>
      <c r="ET82" s="705"/>
      <c r="EU82" s="705"/>
      <c r="EV82" s="705"/>
      <c r="EW82" s="705"/>
      <c r="EX82" s="705"/>
      <c r="EY82" s="705"/>
      <c r="EZ82" s="705"/>
      <c r="FA82" s="705"/>
      <c r="FB82" s="705"/>
      <c r="FC82" s="705"/>
      <c r="FD82" s="705"/>
      <c r="FE82" s="705"/>
      <c r="FF82" s="705"/>
      <c r="FG82" s="705"/>
      <c r="FH82" s="705"/>
      <c r="FI82" s="705"/>
      <c r="FJ82" s="705"/>
      <c r="FK82" s="705"/>
      <c r="FL82" s="705"/>
      <c r="FM82" s="705"/>
      <c r="FN82" s="705"/>
      <c r="FO82" s="705"/>
      <c r="FP82" s="705"/>
      <c r="FQ82" s="705"/>
      <c r="FR82" s="705"/>
      <c r="FS82" s="705"/>
      <c r="FT82" s="705"/>
      <c r="FU82" s="705"/>
      <c r="FV82" s="705"/>
      <c r="FW82" s="705"/>
      <c r="FX82" s="705"/>
      <c r="FY82" s="705"/>
      <c r="FZ82" s="705"/>
      <c r="GA82" s="705"/>
      <c r="GB82" s="705"/>
      <c r="GC82" s="705"/>
      <c r="GD82" s="705"/>
      <c r="GE82" s="705"/>
      <c r="GF82" s="705"/>
      <c r="GG82" s="705"/>
      <c r="GH82" s="705"/>
      <c r="GI82" s="705"/>
      <c r="GJ82" s="705"/>
      <c r="GK82" s="705"/>
      <c r="GL82" s="705"/>
      <c r="GM82" s="705"/>
      <c r="GN82" s="705"/>
      <c r="GO82" s="705"/>
      <c r="GP82" s="705"/>
      <c r="GQ82" s="705"/>
      <c r="GR82" s="705"/>
      <c r="GS82" s="705"/>
      <c r="GT82" s="705"/>
      <c r="GU82" s="705"/>
      <c r="GV82" s="705"/>
      <c r="GW82" s="705"/>
      <c r="GX82" s="705"/>
      <c r="GY82" s="705"/>
      <c r="GZ82" s="705"/>
      <c r="HA82" s="705"/>
      <c r="HB82" s="705"/>
      <c r="HC82" s="705"/>
      <c r="HD82" s="705"/>
      <c r="HE82" s="705"/>
      <c r="HF82" s="705"/>
      <c r="HG82" s="705"/>
      <c r="HH82" s="705"/>
      <c r="HI82" s="705"/>
      <c r="HJ82" s="705"/>
      <c r="HK82" s="705"/>
      <c r="HL82" s="705"/>
      <c r="HM82" s="705"/>
      <c r="HN82" s="705"/>
      <c r="HO82" s="705"/>
      <c r="HP82" s="705"/>
      <c r="HQ82" s="705"/>
      <c r="HR82" s="705"/>
      <c r="HS82" s="705"/>
      <c r="HT82" s="705"/>
      <c r="HU82" s="705"/>
      <c r="HV82" s="705"/>
      <c r="HW82" s="705"/>
    </row>
    <row r="83" spans="1:231" ht="14.1" customHeight="1">
      <c r="A83" s="705"/>
      <c r="B83" s="732"/>
      <c r="C83" s="732"/>
      <c r="E83" s="753"/>
      <c r="F83" s="705"/>
      <c r="G83" s="705"/>
      <c r="H83" s="705"/>
      <c r="I83" s="705"/>
      <c r="K83" s="724"/>
      <c r="L83" s="704"/>
      <c r="M83" s="704"/>
      <c r="N83" s="704"/>
      <c r="O83" s="704"/>
      <c r="P83" s="704"/>
      <c r="Q83" s="704"/>
      <c r="R83" s="704"/>
      <c r="S83" s="704"/>
      <c r="T83" s="704"/>
      <c r="U83" s="704"/>
      <c r="V83" s="704"/>
      <c r="W83" s="704"/>
      <c r="X83" s="705"/>
      <c r="Y83" s="705"/>
      <c r="Z83" s="705"/>
      <c r="AA83" s="705"/>
      <c r="AB83" s="705"/>
      <c r="AC83" s="705"/>
      <c r="AD83" s="705"/>
      <c r="AE83" s="705"/>
      <c r="AF83" s="705"/>
      <c r="AG83" s="705"/>
      <c r="AH83" s="705"/>
      <c r="AI83" s="705"/>
      <c r="AJ83" s="705"/>
      <c r="AK83" s="705"/>
      <c r="AL83" s="705"/>
      <c r="AM83" s="705"/>
      <c r="AN83" s="705"/>
      <c r="AO83" s="705"/>
      <c r="AP83" s="705"/>
      <c r="AQ83" s="705"/>
      <c r="AR83" s="705"/>
      <c r="AS83" s="705"/>
      <c r="AT83" s="705"/>
      <c r="AU83" s="705"/>
      <c r="AV83" s="705"/>
      <c r="AW83" s="705"/>
      <c r="AX83" s="705"/>
      <c r="AY83" s="705"/>
      <c r="AZ83" s="705"/>
      <c r="BA83" s="705"/>
      <c r="BB83" s="705"/>
      <c r="BC83" s="705"/>
      <c r="BD83" s="705"/>
      <c r="BE83" s="705"/>
      <c r="BF83" s="705"/>
      <c r="BG83" s="705"/>
      <c r="BH83" s="705"/>
      <c r="BI83" s="705"/>
      <c r="BJ83" s="705"/>
      <c r="BK83" s="705"/>
      <c r="BL83" s="705"/>
      <c r="BM83" s="705"/>
      <c r="BN83" s="705"/>
      <c r="BO83" s="705"/>
      <c r="BP83" s="705"/>
      <c r="BQ83" s="705"/>
      <c r="BR83" s="705"/>
      <c r="BS83" s="705"/>
      <c r="BT83" s="705"/>
      <c r="BU83" s="705"/>
      <c r="BV83" s="705"/>
      <c r="BW83" s="705"/>
      <c r="BX83" s="705"/>
      <c r="BY83" s="705"/>
      <c r="BZ83" s="705"/>
      <c r="CA83" s="705"/>
      <c r="CB83" s="705"/>
      <c r="CC83" s="705"/>
      <c r="CD83" s="705"/>
      <c r="CE83" s="705"/>
      <c r="CF83" s="705"/>
      <c r="CG83" s="705"/>
      <c r="CH83" s="705"/>
      <c r="CI83" s="705"/>
      <c r="CJ83" s="705"/>
      <c r="CK83" s="705"/>
      <c r="CL83" s="705"/>
      <c r="CM83" s="705"/>
      <c r="CN83" s="705"/>
      <c r="CO83" s="705"/>
      <c r="CP83" s="705"/>
      <c r="CQ83" s="705"/>
      <c r="CR83" s="705"/>
      <c r="CS83" s="705"/>
      <c r="CT83" s="705"/>
      <c r="CU83" s="705"/>
      <c r="CV83" s="705"/>
      <c r="CW83" s="705"/>
      <c r="CX83" s="705"/>
      <c r="CY83" s="705"/>
      <c r="CZ83" s="705"/>
      <c r="DA83" s="705"/>
      <c r="DB83" s="705"/>
      <c r="DC83" s="705"/>
      <c r="DD83" s="705"/>
      <c r="DE83" s="705"/>
      <c r="DF83" s="705"/>
      <c r="DG83" s="705"/>
      <c r="DH83" s="705"/>
      <c r="DI83" s="705"/>
      <c r="DJ83" s="705"/>
      <c r="DK83" s="705"/>
      <c r="DL83" s="705"/>
      <c r="DM83" s="705"/>
      <c r="DN83" s="705"/>
      <c r="DO83" s="705"/>
      <c r="DP83" s="705"/>
      <c r="DQ83" s="705"/>
      <c r="DR83" s="705"/>
      <c r="DS83" s="705"/>
      <c r="DT83" s="705"/>
      <c r="DU83" s="705"/>
      <c r="DV83" s="705"/>
      <c r="DW83" s="705"/>
      <c r="DX83" s="705"/>
      <c r="DY83" s="705"/>
      <c r="DZ83" s="705"/>
      <c r="EA83" s="705"/>
      <c r="EB83" s="705"/>
      <c r="EC83" s="705"/>
      <c r="ED83" s="705"/>
      <c r="EE83" s="705"/>
      <c r="EF83" s="705"/>
      <c r="EG83" s="705"/>
      <c r="EH83" s="705"/>
      <c r="EI83" s="705"/>
      <c r="EJ83" s="705"/>
      <c r="EK83" s="705"/>
      <c r="EL83" s="705"/>
      <c r="EM83" s="705"/>
      <c r="EN83" s="705"/>
      <c r="EO83" s="705"/>
      <c r="EP83" s="705"/>
      <c r="EQ83" s="705"/>
      <c r="ER83" s="705"/>
      <c r="ES83" s="705"/>
      <c r="ET83" s="705"/>
      <c r="EU83" s="705"/>
      <c r="EV83" s="705"/>
      <c r="EW83" s="705"/>
      <c r="EX83" s="705"/>
      <c r="EY83" s="705"/>
      <c r="EZ83" s="705"/>
      <c r="FA83" s="705"/>
      <c r="FB83" s="705"/>
      <c r="FC83" s="705"/>
      <c r="FD83" s="705"/>
      <c r="FE83" s="705"/>
      <c r="FF83" s="705"/>
      <c r="FG83" s="705"/>
      <c r="FH83" s="705"/>
      <c r="FI83" s="705"/>
      <c r="FJ83" s="705"/>
      <c r="FK83" s="705"/>
      <c r="FL83" s="705"/>
      <c r="FM83" s="705"/>
      <c r="FN83" s="705"/>
      <c r="FO83" s="705"/>
      <c r="FP83" s="705"/>
      <c r="FQ83" s="705"/>
      <c r="FR83" s="705"/>
      <c r="FS83" s="705"/>
      <c r="FT83" s="705"/>
      <c r="FU83" s="705"/>
      <c r="FV83" s="705"/>
      <c r="FW83" s="705"/>
      <c r="FX83" s="705"/>
      <c r="FY83" s="705"/>
      <c r="FZ83" s="705"/>
      <c r="GA83" s="705"/>
      <c r="GB83" s="705"/>
      <c r="GC83" s="705"/>
      <c r="GD83" s="705"/>
      <c r="GE83" s="705"/>
      <c r="GF83" s="705"/>
      <c r="GG83" s="705"/>
      <c r="GH83" s="705"/>
      <c r="GI83" s="705"/>
      <c r="GJ83" s="705"/>
      <c r="GK83" s="705"/>
      <c r="GL83" s="705"/>
      <c r="GM83" s="705"/>
      <c r="GN83" s="705"/>
      <c r="GO83" s="705"/>
      <c r="GP83" s="705"/>
      <c r="GQ83" s="705"/>
      <c r="GR83" s="705"/>
      <c r="GS83" s="705"/>
      <c r="GT83" s="705"/>
      <c r="GU83" s="705"/>
      <c r="GV83" s="705"/>
      <c r="GW83" s="705"/>
      <c r="GX83" s="705"/>
      <c r="GY83" s="705"/>
      <c r="GZ83" s="705"/>
      <c r="HA83" s="705"/>
      <c r="HB83" s="705"/>
      <c r="HC83" s="705"/>
      <c r="HD83" s="705"/>
      <c r="HE83" s="705"/>
      <c r="HF83" s="705"/>
      <c r="HG83" s="705"/>
      <c r="HH83" s="705"/>
      <c r="HI83" s="705"/>
      <c r="HJ83" s="705"/>
      <c r="HK83" s="705"/>
      <c r="HL83" s="705"/>
      <c r="HM83" s="705"/>
      <c r="HN83" s="705"/>
      <c r="HO83" s="705"/>
      <c r="HP83" s="705"/>
      <c r="HQ83" s="705"/>
      <c r="HR83" s="705"/>
      <c r="HS83" s="705"/>
      <c r="HT83" s="705"/>
      <c r="HU83" s="705"/>
      <c r="HV83" s="705"/>
      <c r="HW83" s="705"/>
    </row>
    <row r="84" spans="1:231" ht="14.1" customHeight="1">
      <c r="A84" s="705"/>
      <c r="B84" s="732"/>
      <c r="C84" s="732"/>
      <c r="E84" s="753"/>
      <c r="F84" s="705"/>
      <c r="G84" s="705"/>
      <c r="H84" s="705"/>
      <c r="I84" s="705"/>
      <c r="K84" s="724"/>
      <c r="L84" s="704"/>
      <c r="M84" s="704"/>
      <c r="N84" s="704"/>
      <c r="O84" s="704"/>
      <c r="P84" s="704"/>
      <c r="Q84" s="704"/>
      <c r="R84" s="704"/>
      <c r="S84" s="704"/>
      <c r="T84" s="704"/>
      <c r="U84" s="704"/>
      <c r="V84" s="704"/>
      <c r="W84" s="704"/>
      <c r="X84" s="705"/>
      <c r="Y84" s="705"/>
      <c r="Z84" s="705"/>
      <c r="AA84" s="705"/>
      <c r="AB84" s="705"/>
      <c r="AC84" s="705"/>
      <c r="AD84" s="705"/>
      <c r="AE84" s="705"/>
      <c r="AF84" s="705"/>
      <c r="AG84" s="705"/>
      <c r="AH84" s="705"/>
      <c r="AI84" s="705"/>
      <c r="AJ84" s="705"/>
      <c r="AK84" s="705"/>
      <c r="AL84" s="705"/>
      <c r="AM84" s="705"/>
      <c r="AN84" s="705"/>
      <c r="AO84" s="705"/>
      <c r="AP84" s="705"/>
      <c r="AQ84" s="705"/>
      <c r="AR84" s="705"/>
      <c r="AS84" s="705"/>
      <c r="AT84" s="705"/>
      <c r="AU84" s="705"/>
      <c r="AV84" s="705"/>
      <c r="AW84" s="705"/>
      <c r="AX84" s="705"/>
      <c r="AY84" s="705"/>
      <c r="AZ84" s="705"/>
      <c r="BA84" s="705"/>
      <c r="BB84" s="705"/>
      <c r="BC84" s="705"/>
      <c r="BD84" s="705"/>
      <c r="BE84" s="705"/>
      <c r="BF84" s="705"/>
      <c r="BG84" s="705"/>
      <c r="BH84" s="705"/>
      <c r="BI84" s="705"/>
      <c r="BJ84" s="705"/>
      <c r="BK84" s="705"/>
      <c r="BL84" s="705"/>
      <c r="BM84" s="705"/>
      <c r="BN84" s="705"/>
      <c r="BO84" s="705"/>
      <c r="BP84" s="705"/>
      <c r="BQ84" s="705"/>
      <c r="BR84" s="705"/>
      <c r="BS84" s="705"/>
      <c r="BT84" s="705"/>
      <c r="BU84" s="705"/>
      <c r="BV84" s="705"/>
      <c r="BW84" s="705"/>
      <c r="BX84" s="705"/>
      <c r="BY84" s="705"/>
      <c r="BZ84" s="705"/>
      <c r="CA84" s="705"/>
      <c r="CB84" s="705"/>
      <c r="CC84" s="705"/>
      <c r="CD84" s="705"/>
      <c r="CE84" s="705"/>
      <c r="CF84" s="705"/>
      <c r="CG84" s="705"/>
      <c r="CH84" s="705"/>
      <c r="CI84" s="705"/>
      <c r="CJ84" s="705"/>
      <c r="CK84" s="705"/>
      <c r="CL84" s="705"/>
      <c r="CM84" s="705"/>
      <c r="CN84" s="705"/>
      <c r="CO84" s="705"/>
      <c r="CP84" s="705"/>
      <c r="CQ84" s="705"/>
      <c r="CR84" s="705"/>
      <c r="CS84" s="705"/>
      <c r="CT84" s="705"/>
      <c r="CU84" s="705"/>
      <c r="CV84" s="705"/>
      <c r="CW84" s="705"/>
      <c r="CX84" s="705"/>
      <c r="CY84" s="705"/>
      <c r="CZ84" s="705"/>
      <c r="DA84" s="705"/>
      <c r="DB84" s="705"/>
      <c r="DC84" s="705"/>
      <c r="DD84" s="705"/>
      <c r="DE84" s="705"/>
      <c r="DF84" s="705"/>
      <c r="DG84" s="705"/>
      <c r="DH84" s="705"/>
      <c r="DI84" s="705"/>
      <c r="DJ84" s="705"/>
      <c r="DK84" s="705"/>
      <c r="DL84" s="705"/>
      <c r="DM84" s="705"/>
      <c r="DN84" s="705"/>
      <c r="DO84" s="705"/>
      <c r="DP84" s="705"/>
      <c r="DQ84" s="705"/>
      <c r="DR84" s="705"/>
      <c r="DS84" s="705"/>
      <c r="DT84" s="705"/>
      <c r="DU84" s="705"/>
      <c r="DV84" s="705"/>
      <c r="DW84" s="705"/>
      <c r="DX84" s="705"/>
      <c r="DY84" s="705"/>
      <c r="DZ84" s="705"/>
      <c r="EA84" s="705"/>
      <c r="EB84" s="705"/>
      <c r="EC84" s="705"/>
      <c r="ED84" s="705"/>
      <c r="EE84" s="705"/>
      <c r="EF84" s="705"/>
      <c r="EG84" s="705"/>
      <c r="EH84" s="705"/>
      <c r="EI84" s="705"/>
      <c r="EJ84" s="705"/>
      <c r="EK84" s="705"/>
      <c r="EL84" s="705"/>
      <c r="EM84" s="705"/>
      <c r="EN84" s="705"/>
      <c r="EO84" s="705"/>
      <c r="EP84" s="705"/>
      <c r="EQ84" s="705"/>
      <c r="ER84" s="705"/>
      <c r="ES84" s="705"/>
      <c r="ET84" s="705"/>
      <c r="EU84" s="705"/>
      <c r="EV84" s="705"/>
      <c r="EW84" s="705"/>
      <c r="EX84" s="705"/>
      <c r="EY84" s="705"/>
      <c r="EZ84" s="705"/>
      <c r="FA84" s="705"/>
      <c r="FB84" s="705"/>
      <c r="FC84" s="705"/>
      <c r="FD84" s="705"/>
      <c r="FE84" s="705"/>
      <c r="FF84" s="705"/>
      <c r="FG84" s="705"/>
      <c r="FH84" s="705"/>
      <c r="FI84" s="705"/>
      <c r="FJ84" s="705"/>
      <c r="FK84" s="705"/>
      <c r="FL84" s="705"/>
      <c r="FM84" s="705"/>
      <c r="FN84" s="705"/>
      <c r="FO84" s="705"/>
      <c r="FP84" s="705"/>
      <c r="FQ84" s="705"/>
      <c r="FR84" s="705"/>
      <c r="FS84" s="705"/>
      <c r="FT84" s="705"/>
      <c r="FU84" s="705"/>
      <c r="FV84" s="705"/>
      <c r="FW84" s="705"/>
      <c r="FX84" s="705"/>
      <c r="FY84" s="705"/>
      <c r="FZ84" s="705"/>
      <c r="GA84" s="705"/>
      <c r="GB84" s="705"/>
      <c r="GC84" s="705"/>
      <c r="GD84" s="705"/>
      <c r="GE84" s="705"/>
      <c r="GF84" s="705"/>
      <c r="GG84" s="705"/>
      <c r="GH84" s="705"/>
      <c r="GI84" s="705"/>
      <c r="GJ84" s="705"/>
      <c r="GK84" s="705"/>
      <c r="GL84" s="705"/>
      <c r="GM84" s="705"/>
      <c r="GN84" s="705"/>
      <c r="GO84" s="705"/>
      <c r="GP84" s="705"/>
      <c r="GQ84" s="705"/>
      <c r="GR84" s="705"/>
      <c r="GS84" s="705"/>
      <c r="GT84" s="705"/>
      <c r="GU84" s="705"/>
      <c r="GV84" s="705"/>
      <c r="GW84" s="705"/>
      <c r="GX84" s="705"/>
      <c r="GY84" s="705"/>
      <c r="GZ84" s="705"/>
      <c r="HA84" s="705"/>
      <c r="HB84" s="705"/>
      <c r="HC84" s="705"/>
      <c r="HD84" s="705"/>
      <c r="HE84" s="705"/>
      <c r="HF84" s="705"/>
      <c r="HG84" s="705"/>
      <c r="HH84" s="705"/>
      <c r="HI84" s="705"/>
      <c r="HJ84" s="705"/>
      <c r="HK84" s="705"/>
      <c r="HL84" s="705"/>
      <c r="HM84" s="705"/>
      <c r="HN84" s="705"/>
      <c r="HO84" s="705"/>
      <c r="HP84" s="705"/>
      <c r="HQ84" s="705"/>
      <c r="HR84" s="705"/>
      <c r="HS84" s="705"/>
      <c r="HT84" s="705"/>
      <c r="HU84" s="705"/>
      <c r="HV84" s="705"/>
      <c r="HW84" s="705"/>
    </row>
    <row r="85" spans="1:231" ht="14.1" customHeight="1">
      <c r="A85" s="705"/>
      <c r="B85" s="732"/>
      <c r="C85" s="732"/>
      <c r="E85" s="753"/>
      <c r="F85" s="705"/>
      <c r="G85" s="705"/>
      <c r="H85" s="705"/>
      <c r="I85" s="705"/>
      <c r="K85" s="724"/>
      <c r="L85" s="704"/>
      <c r="M85" s="704"/>
      <c r="N85" s="704"/>
      <c r="O85" s="704"/>
      <c r="P85" s="704"/>
      <c r="Q85" s="704"/>
      <c r="R85" s="704"/>
      <c r="S85" s="704"/>
      <c r="T85" s="704"/>
      <c r="U85" s="704"/>
      <c r="V85" s="704"/>
      <c r="W85" s="704"/>
      <c r="X85" s="705"/>
      <c r="Y85" s="705"/>
      <c r="Z85" s="705"/>
      <c r="AA85" s="705"/>
      <c r="AB85" s="705"/>
      <c r="AC85" s="705"/>
      <c r="AD85" s="705"/>
      <c r="AE85" s="705"/>
      <c r="AF85" s="705"/>
      <c r="AG85" s="705"/>
      <c r="AH85" s="705"/>
      <c r="AI85" s="705"/>
      <c r="AJ85" s="705"/>
      <c r="AK85" s="705"/>
      <c r="AL85" s="705"/>
      <c r="AM85" s="705"/>
      <c r="AN85" s="705"/>
      <c r="AO85" s="705"/>
      <c r="AP85" s="705"/>
      <c r="AQ85" s="705"/>
      <c r="AR85" s="705"/>
      <c r="AS85" s="705"/>
      <c r="AT85" s="705"/>
      <c r="AU85" s="705"/>
      <c r="AV85" s="705"/>
      <c r="AW85" s="705"/>
      <c r="AX85" s="705"/>
      <c r="AY85" s="705"/>
      <c r="AZ85" s="705"/>
      <c r="BA85" s="705"/>
      <c r="BB85" s="705"/>
      <c r="BC85" s="705"/>
      <c r="BD85" s="705"/>
      <c r="BE85" s="705"/>
      <c r="BF85" s="705"/>
      <c r="BG85" s="705"/>
      <c r="BH85" s="705"/>
      <c r="BI85" s="705"/>
      <c r="BJ85" s="705"/>
      <c r="BK85" s="705"/>
      <c r="BL85" s="705"/>
      <c r="BM85" s="705"/>
      <c r="BN85" s="705"/>
      <c r="BO85" s="705"/>
      <c r="BP85" s="705"/>
      <c r="BQ85" s="705"/>
      <c r="BR85" s="705"/>
      <c r="BS85" s="705"/>
      <c r="BT85" s="705"/>
      <c r="BU85" s="705"/>
      <c r="BV85" s="705"/>
      <c r="BW85" s="705"/>
      <c r="BX85" s="705"/>
      <c r="BY85" s="705"/>
      <c r="BZ85" s="705"/>
      <c r="CA85" s="705"/>
      <c r="CB85" s="705"/>
      <c r="CC85" s="705"/>
      <c r="CD85" s="705"/>
      <c r="CE85" s="705"/>
      <c r="CF85" s="705"/>
      <c r="CG85" s="705"/>
      <c r="CH85" s="705"/>
      <c r="CI85" s="705"/>
      <c r="CJ85" s="705"/>
      <c r="CK85" s="705"/>
      <c r="CL85" s="705"/>
      <c r="CM85" s="705"/>
      <c r="CN85" s="705"/>
      <c r="CO85" s="705"/>
      <c r="CP85" s="705"/>
      <c r="CQ85" s="705"/>
      <c r="CR85" s="705"/>
      <c r="CS85" s="705"/>
      <c r="CT85" s="705"/>
      <c r="CU85" s="705"/>
      <c r="CV85" s="705"/>
      <c r="CW85" s="705"/>
      <c r="CX85" s="705"/>
      <c r="CY85" s="705"/>
      <c r="CZ85" s="705"/>
      <c r="DA85" s="705"/>
      <c r="DB85" s="705"/>
      <c r="DC85" s="705"/>
      <c r="DD85" s="705"/>
      <c r="DE85" s="705"/>
      <c r="DF85" s="705"/>
      <c r="DG85" s="705"/>
      <c r="DH85" s="705"/>
      <c r="DI85" s="705"/>
      <c r="DJ85" s="705"/>
      <c r="DK85" s="705"/>
      <c r="DL85" s="705"/>
      <c r="DM85" s="705"/>
      <c r="DN85" s="705"/>
      <c r="DO85" s="705"/>
      <c r="DP85" s="705"/>
      <c r="DQ85" s="705"/>
      <c r="DR85" s="705"/>
      <c r="DS85" s="705"/>
      <c r="DT85" s="705"/>
      <c r="DU85" s="705"/>
      <c r="DV85" s="705"/>
      <c r="DW85" s="705"/>
      <c r="DX85" s="705"/>
      <c r="DY85" s="705"/>
      <c r="DZ85" s="705"/>
      <c r="EA85" s="705"/>
      <c r="EB85" s="705"/>
      <c r="EC85" s="705"/>
      <c r="ED85" s="705"/>
      <c r="EE85" s="705"/>
      <c r="EF85" s="705"/>
      <c r="EG85" s="705"/>
      <c r="EH85" s="705"/>
      <c r="EI85" s="705"/>
      <c r="EJ85" s="705"/>
      <c r="EK85" s="705"/>
      <c r="EL85" s="705"/>
      <c r="EM85" s="705"/>
      <c r="EN85" s="705"/>
      <c r="EO85" s="705"/>
      <c r="EP85" s="705"/>
      <c r="EQ85" s="705"/>
      <c r="ER85" s="705"/>
      <c r="ES85" s="705"/>
      <c r="ET85" s="705"/>
      <c r="EU85" s="705"/>
      <c r="EV85" s="705"/>
      <c r="EW85" s="705"/>
      <c r="EX85" s="705"/>
      <c r="EY85" s="705"/>
      <c r="EZ85" s="705"/>
      <c r="FA85" s="705"/>
      <c r="FB85" s="705"/>
      <c r="FC85" s="705"/>
      <c r="FD85" s="705"/>
      <c r="FE85" s="705"/>
      <c r="FF85" s="705"/>
      <c r="FG85" s="705"/>
      <c r="FH85" s="705"/>
      <c r="FI85" s="705"/>
      <c r="FJ85" s="705"/>
      <c r="FK85" s="705"/>
      <c r="FL85" s="705"/>
      <c r="FM85" s="705"/>
      <c r="FN85" s="705"/>
      <c r="FO85" s="705"/>
      <c r="FP85" s="705"/>
      <c r="FQ85" s="705"/>
      <c r="FR85" s="705"/>
      <c r="FS85" s="705"/>
      <c r="FT85" s="705"/>
      <c r="FU85" s="705"/>
      <c r="FV85" s="705"/>
      <c r="FW85" s="705"/>
      <c r="FX85" s="705"/>
      <c r="FY85" s="705"/>
      <c r="FZ85" s="705"/>
      <c r="GA85" s="705"/>
      <c r="GB85" s="705"/>
      <c r="GC85" s="705"/>
      <c r="GD85" s="705"/>
      <c r="GE85" s="705"/>
      <c r="GF85" s="705"/>
      <c r="GG85" s="705"/>
      <c r="GH85" s="705"/>
      <c r="GI85" s="705"/>
      <c r="GJ85" s="705"/>
      <c r="GK85" s="705"/>
      <c r="GL85" s="705"/>
      <c r="GM85" s="705"/>
      <c r="GN85" s="705"/>
      <c r="GO85" s="705"/>
      <c r="GP85" s="705"/>
      <c r="GQ85" s="705"/>
      <c r="GR85" s="705"/>
      <c r="GS85" s="705"/>
      <c r="GT85" s="705"/>
      <c r="GU85" s="705"/>
      <c r="GV85" s="705"/>
      <c r="GW85" s="705"/>
      <c r="GX85" s="705"/>
      <c r="GY85" s="705"/>
      <c r="GZ85" s="705"/>
      <c r="HA85" s="705"/>
      <c r="HB85" s="705"/>
      <c r="HC85" s="705"/>
      <c r="HD85" s="705"/>
      <c r="HE85" s="705"/>
      <c r="HF85" s="705"/>
      <c r="HG85" s="705"/>
      <c r="HH85" s="705"/>
      <c r="HI85" s="705"/>
      <c r="HJ85" s="705"/>
      <c r="HK85" s="705"/>
      <c r="HL85" s="705"/>
      <c r="HM85" s="705"/>
      <c r="HN85" s="705"/>
      <c r="HO85" s="705"/>
      <c r="HP85" s="705"/>
      <c r="HQ85" s="705"/>
      <c r="HR85" s="705"/>
      <c r="HS85" s="705"/>
      <c r="HT85" s="705"/>
      <c r="HU85" s="705"/>
      <c r="HV85" s="705"/>
      <c r="HW85" s="705"/>
    </row>
    <row r="86" spans="1:231" ht="14.1" customHeight="1">
      <c r="A86" s="705"/>
      <c r="B86" s="732"/>
      <c r="C86" s="732"/>
      <c r="E86" s="753"/>
      <c r="F86" s="705"/>
      <c r="G86" s="705"/>
      <c r="H86" s="705"/>
      <c r="I86" s="705"/>
      <c r="K86" s="724"/>
      <c r="L86" s="704"/>
      <c r="M86" s="704"/>
      <c r="N86" s="704"/>
      <c r="O86" s="704"/>
      <c r="P86" s="704"/>
      <c r="Q86" s="704"/>
      <c r="R86" s="704"/>
      <c r="S86" s="704"/>
      <c r="T86" s="704"/>
      <c r="U86" s="704"/>
      <c r="V86" s="704"/>
      <c r="W86" s="704"/>
      <c r="X86" s="705"/>
      <c r="Y86" s="705"/>
      <c r="Z86" s="705"/>
      <c r="AA86" s="705"/>
      <c r="AB86" s="705"/>
      <c r="AC86" s="705"/>
      <c r="AD86" s="705"/>
      <c r="AE86" s="705"/>
      <c r="AF86" s="705"/>
      <c r="AG86" s="705"/>
      <c r="AH86" s="705"/>
      <c r="AI86" s="705"/>
      <c r="AJ86" s="705"/>
      <c r="AK86" s="705"/>
      <c r="AL86" s="705"/>
      <c r="AM86" s="705"/>
      <c r="AN86" s="705"/>
      <c r="AO86" s="705"/>
      <c r="AP86" s="705"/>
      <c r="AQ86" s="705"/>
      <c r="AR86" s="705"/>
      <c r="AS86" s="705"/>
      <c r="AT86" s="705"/>
      <c r="AU86" s="705"/>
      <c r="AV86" s="705"/>
      <c r="AW86" s="705"/>
      <c r="AX86" s="705"/>
      <c r="AY86" s="705"/>
      <c r="AZ86" s="705"/>
      <c r="BA86" s="705"/>
      <c r="BB86" s="705"/>
      <c r="BC86" s="705"/>
      <c r="BD86" s="705"/>
      <c r="BE86" s="705"/>
      <c r="BF86" s="705"/>
      <c r="BG86" s="705"/>
      <c r="BH86" s="705"/>
      <c r="BI86" s="705"/>
      <c r="BJ86" s="705"/>
      <c r="BK86" s="705"/>
      <c r="BL86" s="705"/>
      <c r="BM86" s="705"/>
      <c r="BN86" s="705"/>
      <c r="BO86" s="705"/>
      <c r="BP86" s="705"/>
      <c r="BQ86" s="705"/>
      <c r="BR86" s="705"/>
      <c r="BS86" s="705"/>
      <c r="BT86" s="705"/>
      <c r="BU86" s="705"/>
      <c r="BV86" s="705"/>
      <c r="BW86" s="705"/>
      <c r="BX86" s="705"/>
      <c r="BY86" s="705"/>
      <c r="BZ86" s="705"/>
      <c r="CA86" s="705"/>
      <c r="CB86" s="705"/>
      <c r="CC86" s="705"/>
      <c r="CD86" s="705"/>
      <c r="CE86" s="705"/>
      <c r="CF86" s="705"/>
      <c r="CG86" s="705"/>
      <c r="CH86" s="705"/>
      <c r="CI86" s="705"/>
      <c r="CJ86" s="705"/>
      <c r="CK86" s="705"/>
      <c r="CL86" s="705"/>
      <c r="CM86" s="705"/>
      <c r="CN86" s="705"/>
      <c r="CO86" s="705"/>
      <c r="CP86" s="705"/>
      <c r="CQ86" s="705"/>
      <c r="CR86" s="705"/>
      <c r="CS86" s="705"/>
      <c r="CT86" s="705"/>
      <c r="CU86" s="705"/>
      <c r="CV86" s="705"/>
      <c r="CW86" s="705"/>
      <c r="CX86" s="705"/>
      <c r="CY86" s="705"/>
      <c r="CZ86" s="705"/>
      <c r="DA86" s="705"/>
      <c r="DB86" s="705"/>
      <c r="DC86" s="705"/>
      <c r="DD86" s="705"/>
      <c r="DE86" s="705"/>
      <c r="DF86" s="705"/>
      <c r="DG86" s="705"/>
      <c r="DH86" s="705"/>
      <c r="DI86" s="705"/>
      <c r="DJ86" s="705"/>
      <c r="DK86" s="705"/>
      <c r="DL86" s="705"/>
      <c r="DM86" s="705"/>
      <c r="DN86" s="705"/>
      <c r="DO86" s="705"/>
      <c r="DP86" s="705"/>
      <c r="DQ86" s="705"/>
      <c r="DR86" s="705"/>
      <c r="DS86" s="705"/>
      <c r="DT86" s="705"/>
      <c r="DU86" s="705"/>
      <c r="DV86" s="705"/>
      <c r="DW86" s="705"/>
      <c r="DX86" s="705"/>
      <c r="DY86" s="705"/>
      <c r="DZ86" s="705"/>
      <c r="EA86" s="705"/>
      <c r="EB86" s="705"/>
      <c r="EC86" s="705"/>
      <c r="ED86" s="705"/>
      <c r="EE86" s="705"/>
      <c r="EF86" s="705"/>
      <c r="EG86" s="705"/>
      <c r="EH86" s="705"/>
      <c r="EI86" s="705"/>
      <c r="EJ86" s="705"/>
      <c r="EK86" s="705"/>
      <c r="EL86" s="705"/>
      <c r="EM86" s="705"/>
      <c r="EN86" s="705"/>
      <c r="EO86" s="705"/>
      <c r="EP86" s="705"/>
      <c r="EQ86" s="705"/>
      <c r="ER86" s="705"/>
      <c r="ES86" s="705"/>
      <c r="ET86" s="705"/>
      <c r="EU86" s="705"/>
      <c r="EV86" s="705"/>
      <c r="EW86" s="705"/>
      <c r="EX86" s="705"/>
      <c r="EY86" s="705"/>
      <c r="EZ86" s="705"/>
      <c r="FA86" s="705"/>
      <c r="FB86" s="705"/>
      <c r="FC86" s="705"/>
      <c r="FD86" s="705"/>
      <c r="FE86" s="705"/>
      <c r="FF86" s="705"/>
      <c r="FG86" s="705"/>
      <c r="FH86" s="705"/>
      <c r="FI86" s="705"/>
      <c r="FJ86" s="705"/>
      <c r="FK86" s="705"/>
      <c r="FL86" s="705"/>
      <c r="FM86" s="705"/>
      <c r="FN86" s="705"/>
      <c r="FO86" s="705"/>
      <c r="FP86" s="705"/>
      <c r="FQ86" s="705"/>
      <c r="FR86" s="705"/>
      <c r="FS86" s="705"/>
      <c r="FT86" s="705"/>
      <c r="FU86" s="705"/>
      <c r="FV86" s="705"/>
      <c r="FW86" s="705"/>
      <c r="FX86" s="705"/>
      <c r="FY86" s="705"/>
      <c r="FZ86" s="705"/>
      <c r="GA86" s="705"/>
      <c r="GB86" s="705"/>
      <c r="GC86" s="705"/>
      <c r="GD86" s="705"/>
      <c r="GE86" s="705"/>
      <c r="GF86" s="705"/>
      <c r="GG86" s="705"/>
      <c r="GH86" s="705"/>
      <c r="GI86" s="705"/>
      <c r="GJ86" s="705"/>
      <c r="GK86" s="705"/>
      <c r="GL86" s="705"/>
      <c r="GM86" s="705"/>
      <c r="GN86" s="705"/>
      <c r="GO86" s="705"/>
      <c r="GP86" s="705"/>
      <c r="GQ86" s="705"/>
      <c r="GR86" s="705"/>
      <c r="GS86" s="705"/>
      <c r="GT86" s="705"/>
      <c r="GU86" s="705"/>
      <c r="GV86" s="705"/>
      <c r="GW86" s="705"/>
      <c r="GX86" s="705"/>
      <c r="GY86" s="705"/>
      <c r="GZ86" s="705"/>
      <c r="HA86" s="705"/>
      <c r="HB86" s="705"/>
      <c r="HC86" s="705"/>
      <c r="HD86" s="705"/>
      <c r="HE86" s="705"/>
      <c r="HF86" s="705"/>
      <c r="HG86" s="705"/>
      <c r="HH86" s="705"/>
      <c r="HI86" s="705"/>
      <c r="HJ86" s="705"/>
      <c r="HK86" s="705"/>
      <c r="HL86" s="705"/>
      <c r="HM86" s="705"/>
      <c r="HN86" s="705"/>
      <c r="HO86" s="705"/>
      <c r="HP86" s="705"/>
      <c r="HQ86" s="705"/>
      <c r="HR86" s="705"/>
      <c r="HS86" s="705"/>
      <c r="HT86" s="705"/>
      <c r="HU86" s="705"/>
      <c r="HV86" s="705"/>
      <c r="HW86" s="705"/>
    </row>
    <row r="87" spans="1:231" ht="14.1" customHeight="1">
      <c r="A87" s="705"/>
      <c r="B87" s="732"/>
      <c r="C87" s="732"/>
      <c r="E87" s="753"/>
      <c r="F87" s="705"/>
      <c r="G87" s="705"/>
      <c r="H87" s="705"/>
      <c r="I87" s="705"/>
      <c r="K87" s="724"/>
      <c r="L87" s="704"/>
      <c r="M87" s="704"/>
      <c r="N87" s="704"/>
      <c r="O87" s="704"/>
      <c r="P87" s="704"/>
      <c r="Q87" s="704"/>
      <c r="R87" s="704"/>
      <c r="S87" s="704"/>
      <c r="T87" s="704"/>
      <c r="U87" s="704"/>
      <c r="V87" s="704"/>
      <c r="W87" s="704"/>
      <c r="X87" s="705"/>
      <c r="Y87" s="705"/>
      <c r="Z87" s="705"/>
      <c r="AA87" s="705"/>
      <c r="AB87" s="705"/>
      <c r="AC87" s="705"/>
      <c r="AD87" s="705"/>
      <c r="AE87" s="705"/>
      <c r="AF87" s="705"/>
      <c r="AG87" s="705"/>
      <c r="AH87" s="705"/>
      <c r="AI87" s="705"/>
      <c r="AJ87" s="705"/>
      <c r="AK87" s="705"/>
      <c r="AL87" s="705"/>
      <c r="AM87" s="705"/>
      <c r="AN87" s="705"/>
      <c r="AO87" s="705"/>
      <c r="AP87" s="705"/>
      <c r="AQ87" s="705"/>
      <c r="AR87" s="705"/>
      <c r="AS87" s="705"/>
      <c r="AT87" s="705"/>
      <c r="AU87" s="705"/>
      <c r="AV87" s="705"/>
      <c r="AW87" s="705"/>
      <c r="AX87" s="705"/>
      <c r="AY87" s="705"/>
      <c r="AZ87" s="705"/>
      <c r="BA87" s="705"/>
      <c r="BB87" s="705"/>
      <c r="BC87" s="705"/>
      <c r="BD87" s="705"/>
      <c r="BE87" s="705"/>
      <c r="BF87" s="705"/>
      <c r="BG87" s="705"/>
      <c r="BH87" s="705"/>
      <c r="BI87" s="705"/>
      <c r="BJ87" s="705"/>
      <c r="BK87" s="705"/>
      <c r="BL87" s="705"/>
      <c r="BM87" s="705"/>
      <c r="BN87" s="705"/>
      <c r="BO87" s="705"/>
      <c r="BP87" s="705"/>
      <c r="BQ87" s="705"/>
      <c r="BR87" s="705"/>
      <c r="BS87" s="705"/>
      <c r="BT87" s="705"/>
      <c r="BU87" s="705"/>
      <c r="BV87" s="705"/>
      <c r="BW87" s="705"/>
      <c r="BX87" s="705"/>
      <c r="BY87" s="705"/>
      <c r="BZ87" s="705"/>
      <c r="CA87" s="705"/>
      <c r="CB87" s="705"/>
      <c r="CC87" s="705"/>
      <c r="CD87" s="705"/>
      <c r="CE87" s="705"/>
      <c r="CF87" s="705"/>
      <c r="CG87" s="705"/>
      <c r="CH87" s="705"/>
      <c r="CI87" s="705"/>
      <c r="CJ87" s="705"/>
      <c r="CK87" s="705"/>
      <c r="CL87" s="705"/>
      <c r="CM87" s="705"/>
      <c r="CN87" s="705"/>
      <c r="CO87" s="705"/>
      <c r="CP87" s="705"/>
      <c r="CQ87" s="705"/>
      <c r="CR87" s="705"/>
      <c r="CS87" s="705"/>
      <c r="CT87" s="705"/>
      <c r="CU87" s="705"/>
      <c r="CV87" s="705"/>
      <c r="CW87" s="705"/>
      <c r="CX87" s="705"/>
      <c r="CY87" s="705"/>
      <c r="CZ87" s="705"/>
      <c r="DA87" s="705"/>
      <c r="DB87" s="705"/>
      <c r="DC87" s="705"/>
      <c r="DD87" s="705"/>
      <c r="DE87" s="705"/>
      <c r="DF87" s="705"/>
      <c r="DG87" s="705"/>
      <c r="DH87" s="705"/>
      <c r="DI87" s="705"/>
      <c r="DJ87" s="705"/>
      <c r="DK87" s="705"/>
      <c r="DL87" s="705"/>
      <c r="DM87" s="705"/>
      <c r="DN87" s="705"/>
      <c r="DO87" s="705"/>
      <c r="DP87" s="705"/>
      <c r="DQ87" s="705"/>
      <c r="DR87" s="705"/>
      <c r="DS87" s="705"/>
      <c r="DT87" s="705"/>
      <c r="DU87" s="705"/>
      <c r="DV87" s="705"/>
      <c r="DW87" s="705"/>
      <c r="DX87" s="705"/>
      <c r="DY87" s="705"/>
      <c r="DZ87" s="705"/>
      <c r="EA87" s="705"/>
      <c r="EB87" s="705"/>
      <c r="EC87" s="705"/>
      <c r="ED87" s="705"/>
      <c r="EE87" s="705"/>
      <c r="EF87" s="705"/>
      <c r="EG87" s="705"/>
      <c r="EH87" s="705"/>
      <c r="EI87" s="705"/>
      <c r="EJ87" s="705"/>
      <c r="EK87" s="705"/>
      <c r="EL87" s="705"/>
      <c r="EM87" s="705"/>
      <c r="EN87" s="705"/>
      <c r="EO87" s="705"/>
      <c r="EP87" s="705"/>
      <c r="EQ87" s="705"/>
      <c r="ER87" s="705"/>
      <c r="ES87" s="705"/>
      <c r="ET87" s="705"/>
      <c r="EU87" s="705"/>
      <c r="EV87" s="705"/>
      <c r="EW87" s="705"/>
      <c r="EX87" s="705"/>
      <c r="EY87" s="705"/>
      <c r="EZ87" s="705"/>
      <c r="FA87" s="705"/>
      <c r="FB87" s="705"/>
      <c r="FC87" s="705"/>
      <c r="FD87" s="705"/>
      <c r="FE87" s="705"/>
      <c r="FF87" s="705"/>
      <c r="FG87" s="705"/>
      <c r="FH87" s="705"/>
      <c r="FI87" s="705"/>
      <c r="FJ87" s="705"/>
      <c r="FK87" s="705"/>
      <c r="FL87" s="705"/>
      <c r="FM87" s="705"/>
      <c r="FN87" s="705"/>
      <c r="FO87" s="705"/>
      <c r="FP87" s="705"/>
      <c r="FQ87" s="705"/>
      <c r="FR87" s="705"/>
      <c r="FS87" s="705"/>
      <c r="FT87" s="705"/>
      <c r="FU87" s="705"/>
      <c r="FV87" s="705"/>
      <c r="FW87" s="705"/>
      <c r="FX87" s="705"/>
      <c r="FY87" s="705"/>
      <c r="FZ87" s="705"/>
      <c r="GA87" s="705"/>
      <c r="GB87" s="705"/>
      <c r="GC87" s="705"/>
      <c r="GD87" s="705"/>
      <c r="GE87" s="705"/>
      <c r="GF87" s="705"/>
      <c r="GG87" s="705"/>
      <c r="GH87" s="705"/>
      <c r="GI87" s="705"/>
      <c r="GJ87" s="705"/>
      <c r="GK87" s="705"/>
      <c r="GL87" s="705"/>
      <c r="GM87" s="705"/>
      <c r="GN87" s="705"/>
      <c r="GO87" s="705"/>
      <c r="GP87" s="705"/>
      <c r="GQ87" s="705"/>
      <c r="GR87" s="705"/>
      <c r="GS87" s="705"/>
      <c r="GT87" s="705"/>
      <c r="GU87" s="705"/>
      <c r="GV87" s="705"/>
      <c r="GW87" s="705"/>
      <c r="GX87" s="705"/>
      <c r="GY87" s="705"/>
      <c r="GZ87" s="705"/>
      <c r="HA87" s="705"/>
      <c r="HB87" s="705"/>
      <c r="HC87" s="705"/>
      <c r="HD87" s="705"/>
      <c r="HE87" s="705"/>
      <c r="HF87" s="705"/>
      <c r="HG87" s="705"/>
      <c r="HH87" s="705"/>
      <c r="HI87" s="705"/>
      <c r="HJ87" s="705"/>
      <c r="HK87" s="705"/>
      <c r="HL87" s="705"/>
      <c r="HM87" s="705"/>
      <c r="HN87" s="705"/>
      <c r="HO87" s="705"/>
      <c r="HP87" s="705"/>
      <c r="HQ87" s="705"/>
      <c r="HR87" s="705"/>
      <c r="HS87" s="705"/>
      <c r="HT87" s="705"/>
      <c r="HU87" s="705"/>
      <c r="HV87" s="705"/>
      <c r="HW87" s="705"/>
    </row>
    <row r="88" spans="1:231" ht="14.1" customHeight="1">
      <c r="A88" s="705"/>
      <c r="B88" s="732"/>
      <c r="C88" s="732"/>
      <c r="E88" s="753"/>
      <c r="F88" s="705"/>
      <c r="G88" s="705"/>
      <c r="H88" s="705"/>
      <c r="I88" s="705"/>
      <c r="K88" s="724"/>
      <c r="L88" s="704"/>
      <c r="M88" s="704"/>
      <c r="N88" s="704"/>
      <c r="O88" s="704"/>
      <c r="P88" s="704"/>
      <c r="Q88" s="704"/>
      <c r="R88" s="704"/>
      <c r="S88" s="704"/>
      <c r="T88" s="704"/>
      <c r="U88" s="704"/>
      <c r="V88" s="704"/>
      <c r="W88" s="704"/>
      <c r="X88" s="705"/>
      <c r="Y88" s="705"/>
      <c r="Z88" s="705"/>
      <c r="AA88" s="705"/>
      <c r="AB88" s="705"/>
      <c r="AC88" s="705"/>
      <c r="AD88" s="705"/>
      <c r="AE88" s="705"/>
      <c r="AF88" s="705"/>
      <c r="AG88" s="705"/>
      <c r="AH88" s="705"/>
      <c r="AI88" s="705"/>
      <c r="AJ88" s="705"/>
      <c r="AK88" s="705"/>
      <c r="AL88" s="705"/>
      <c r="AM88" s="705"/>
      <c r="AN88" s="705"/>
      <c r="AO88" s="705"/>
      <c r="AP88" s="705"/>
      <c r="AQ88" s="705"/>
      <c r="AR88" s="705"/>
      <c r="AS88" s="705"/>
      <c r="AT88" s="705"/>
      <c r="AU88" s="705"/>
      <c r="AV88" s="705"/>
      <c r="AW88" s="705"/>
      <c r="AX88" s="705"/>
      <c r="AY88" s="705"/>
      <c r="AZ88" s="705"/>
      <c r="BA88" s="705"/>
      <c r="BB88" s="705"/>
      <c r="BC88" s="705"/>
      <c r="BD88" s="705"/>
      <c r="BE88" s="705"/>
      <c r="BF88" s="705"/>
      <c r="BG88" s="705"/>
      <c r="BH88" s="705"/>
      <c r="BI88" s="705"/>
      <c r="BJ88" s="705"/>
      <c r="BK88" s="705"/>
      <c r="BL88" s="705"/>
      <c r="BM88" s="705"/>
      <c r="BN88" s="705"/>
      <c r="BO88" s="705"/>
      <c r="BP88" s="705"/>
      <c r="BQ88" s="705"/>
      <c r="BR88" s="705"/>
      <c r="BS88" s="705"/>
      <c r="BT88" s="705"/>
      <c r="BU88" s="705"/>
      <c r="BV88" s="705"/>
      <c r="BW88" s="705"/>
      <c r="BX88" s="705"/>
      <c r="BY88" s="705"/>
      <c r="BZ88" s="705"/>
      <c r="CA88" s="705"/>
      <c r="CB88" s="705"/>
      <c r="CC88" s="705"/>
      <c r="CD88" s="705"/>
      <c r="CE88" s="705"/>
      <c r="CF88" s="705"/>
      <c r="CG88" s="705"/>
      <c r="CH88" s="705"/>
      <c r="CI88" s="705"/>
      <c r="CJ88" s="705"/>
      <c r="CK88" s="705"/>
      <c r="CL88" s="705"/>
      <c r="CM88" s="705"/>
      <c r="CN88" s="705"/>
      <c r="CO88" s="705"/>
      <c r="CP88" s="705"/>
      <c r="CQ88" s="705"/>
      <c r="CR88" s="705"/>
      <c r="CS88" s="705"/>
      <c r="CT88" s="705"/>
      <c r="CU88" s="705"/>
      <c r="CV88" s="705"/>
      <c r="CW88" s="705"/>
      <c r="CX88" s="705"/>
      <c r="CY88" s="705"/>
      <c r="CZ88" s="705"/>
      <c r="DA88" s="705"/>
      <c r="DB88" s="705"/>
      <c r="DC88" s="705"/>
      <c r="DD88" s="705"/>
      <c r="DE88" s="705"/>
      <c r="DF88" s="705"/>
      <c r="DG88" s="705"/>
      <c r="DH88" s="705"/>
      <c r="DI88" s="705"/>
      <c r="DJ88" s="705"/>
      <c r="DK88" s="705"/>
      <c r="DL88" s="705"/>
      <c r="DM88" s="705"/>
      <c r="DN88" s="705"/>
      <c r="DO88" s="705"/>
      <c r="DP88" s="705"/>
      <c r="DQ88" s="705"/>
      <c r="DR88" s="705"/>
      <c r="DS88" s="705"/>
      <c r="DT88" s="705"/>
      <c r="DU88" s="705"/>
      <c r="DV88" s="705"/>
      <c r="DW88" s="705"/>
      <c r="DX88" s="705"/>
      <c r="DY88" s="705"/>
      <c r="DZ88" s="705"/>
      <c r="EA88" s="705"/>
      <c r="EB88" s="705"/>
      <c r="EC88" s="705"/>
      <c r="ED88" s="705"/>
      <c r="EE88" s="705"/>
      <c r="EF88" s="705"/>
      <c r="EG88" s="705"/>
      <c r="EH88" s="705"/>
      <c r="EI88" s="705"/>
      <c r="EJ88" s="705"/>
      <c r="EK88" s="705"/>
      <c r="EL88" s="705"/>
      <c r="EM88" s="705"/>
      <c r="EN88" s="705"/>
      <c r="EO88" s="705"/>
      <c r="EP88" s="705"/>
      <c r="EQ88" s="705"/>
      <c r="ER88" s="705"/>
      <c r="ES88" s="705"/>
      <c r="ET88" s="705"/>
      <c r="EU88" s="705"/>
      <c r="EV88" s="705"/>
      <c r="EW88" s="705"/>
      <c r="EX88" s="705"/>
      <c r="EY88" s="705"/>
      <c r="EZ88" s="705"/>
      <c r="FA88" s="705"/>
      <c r="FB88" s="705"/>
      <c r="FC88" s="705"/>
      <c r="FD88" s="705"/>
      <c r="FE88" s="705"/>
      <c r="FF88" s="705"/>
      <c r="FG88" s="705"/>
      <c r="FH88" s="705"/>
      <c r="FI88" s="705"/>
      <c r="FJ88" s="705"/>
      <c r="FK88" s="705"/>
      <c r="FL88" s="705"/>
      <c r="FM88" s="705"/>
      <c r="FN88" s="705"/>
      <c r="FO88" s="705"/>
      <c r="FP88" s="705"/>
      <c r="FQ88" s="705"/>
      <c r="FR88" s="705"/>
      <c r="FS88" s="705"/>
      <c r="FT88" s="705"/>
      <c r="FU88" s="705"/>
      <c r="FV88" s="705"/>
      <c r="FW88" s="705"/>
      <c r="FX88" s="705"/>
      <c r="FY88" s="705"/>
      <c r="FZ88" s="705"/>
      <c r="GA88" s="705"/>
      <c r="GB88" s="705"/>
      <c r="GC88" s="705"/>
      <c r="GD88" s="705"/>
      <c r="GE88" s="705"/>
      <c r="GF88" s="705"/>
      <c r="GG88" s="705"/>
      <c r="GH88" s="705"/>
      <c r="GI88" s="705"/>
      <c r="GJ88" s="705"/>
      <c r="GK88" s="705"/>
      <c r="GL88" s="705"/>
      <c r="GM88" s="705"/>
      <c r="GN88" s="705"/>
      <c r="GO88" s="705"/>
      <c r="GP88" s="705"/>
      <c r="GQ88" s="705"/>
      <c r="GR88" s="705"/>
      <c r="GS88" s="705"/>
      <c r="GT88" s="705"/>
      <c r="GU88" s="705"/>
      <c r="GV88" s="705"/>
      <c r="GW88" s="705"/>
      <c r="GX88" s="705"/>
      <c r="GY88" s="705"/>
      <c r="GZ88" s="705"/>
      <c r="HA88" s="705"/>
      <c r="HB88" s="705"/>
      <c r="HC88" s="705"/>
      <c r="HD88" s="705"/>
      <c r="HE88" s="705"/>
      <c r="HF88" s="705"/>
      <c r="HG88" s="705"/>
      <c r="HH88" s="705"/>
      <c r="HI88" s="705"/>
      <c r="HJ88" s="705"/>
      <c r="HK88" s="705"/>
      <c r="HL88" s="705"/>
      <c r="HM88" s="705"/>
      <c r="HN88" s="705"/>
      <c r="HO88" s="705"/>
      <c r="HP88" s="705"/>
      <c r="HQ88" s="705"/>
      <c r="HR88" s="705"/>
      <c r="HS88" s="705"/>
      <c r="HT88" s="705"/>
      <c r="HU88" s="705"/>
      <c r="HV88" s="705"/>
      <c r="HW88" s="705"/>
    </row>
    <row r="89" spans="1:231" ht="14.1" customHeight="1">
      <c r="A89" s="705"/>
      <c r="B89" s="732"/>
      <c r="C89" s="732"/>
      <c r="E89" s="753"/>
      <c r="F89" s="705"/>
      <c r="G89" s="705"/>
      <c r="H89" s="705"/>
      <c r="I89" s="705"/>
      <c r="K89" s="724"/>
      <c r="L89" s="704"/>
      <c r="M89" s="704"/>
      <c r="N89" s="704"/>
      <c r="O89" s="704"/>
      <c r="P89" s="704"/>
      <c r="Q89" s="704"/>
      <c r="R89" s="704"/>
      <c r="S89" s="704"/>
      <c r="T89" s="704"/>
      <c r="U89" s="704"/>
      <c r="V89" s="704"/>
      <c r="W89" s="704"/>
      <c r="X89" s="705"/>
      <c r="Y89" s="705"/>
      <c r="Z89" s="705"/>
      <c r="AA89" s="705"/>
      <c r="AB89" s="705"/>
      <c r="AC89" s="705"/>
      <c r="AD89" s="705"/>
      <c r="AE89" s="705"/>
      <c r="AF89" s="705"/>
      <c r="AG89" s="705"/>
      <c r="AH89" s="705"/>
      <c r="AI89" s="705"/>
      <c r="AJ89" s="705"/>
      <c r="AK89" s="705"/>
      <c r="AL89" s="705"/>
      <c r="AM89" s="705"/>
      <c r="AN89" s="705"/>
      <c r="AO89" s="705"/>
      <c r="AP89" s="705"/>
      <c r="AQ89" s="705"/>
      <c r="AR89" s="705"/>
      <c r="AS89" s="705"/>
      <c r="AT89" s="705"/>
      <c r="AU89" s="705"/>
      <c r="AV89" s="705"/>
      <c r="AW89" s="705"/>
      <c r="AX89" s="705"/>
      <c r="AY89" s="705"/>
      <c r="AZ89" s="705"/>
      <c r="BA89" s="705"/>
      <c r="BB89" s="705"/>
      <c r="BC89" s="705"/>
      <c r="BD89" s="705"/>
      <c r="BE89" s="705"/>
      <c r="BF89" s="705"/>
      <c r="BG89" s="705"/>
      <c r="BH89" s="705"/>
      <c r="BI89" s="705"/>
      <c r="BJ89" s="705"/>
      <c r="BK89" s="705"/>
      <c r="BL89" s="705"/>
      <c r="BM89" s="705"/>
      <c r="BN89" s="705"/>
      <c r="BO89" s="705"/>
      <c r="BP89" s="705"/>
      <c r="BQ89" s="705"/>
      <c r="BR89" s="705"/>
      <c r="BS89" s="705"/>
      <c r="BT89" s="705"/>
      <c r="BU89" s="705"/>
      <c r="BV89" s="705"/>
      <c r="BW89" s="705"/>
      <c r="BX89" s="705"/>
      <c r="BY89" s="705"/>
      <c r="BZ89" s="705"/>
      <c r="CA89" s="705"/>
      <c r="CB89" s="705"/>
      <c r="CC89" s="705"/>
      <c r="CD89" s="705"/>
      <c r="CE89" s="705"/>
      <c r="CF89" s="705"/>
      <c r="CG89" s="705"/>
      <c r="CH89" s="705"/>
      <c r="CI89" s="705"/>
      <c r="CJ89" s="705"/>
      <c r="CK89" s="705"/>
      <c r="CL89" s="705"/>
      <c r="CM89" s="705"/>
      <c r="CN89" s="705"/>
      <c r="CO89" s="705"/>
      <c r="CP89" s="705"/>
      <c r="CQ89" s="705"/>
      <c r="CR89" s="705"/>
      <c r="CS89" s="705"/>
      <c r="CT89" s="705"/>
      <c r="CU89" s="705"/>
      <c r="CV89" s="705"/>
      <c r="CW89" s="705"/>
      <c r="CX89" s="705"/>
      <c r="CY89" s="705"/>
      <c r="CZ89" s="705"/>
      <c r="DA89" s="705"/>
      <c r="DB89" s="705"/>
      <c r="DC89" s="705"/>
      <c r="DD89" s="705"/>
      <c r="DE89" s="705"/>
      <c r="DF89" s="705"/>
      <c r="DG89" s="705"/>
      <c r="DH89" s="705"/>
      <c r="DI89" s="705"/>
      <c r="DJ89" s="705"/>
      <c r="DK89" s="705"/>
      <c r="DL89" s="705"/>
      <c r="DM89" s="705"/>
      <c r="DN89" s="705"/>
      <c r="DO89" s="705"/>
      <c r="DP89" s="705"/>
      <c r="DQ89" s="705"/>
      <c r="DR89" s="705"/>
      <c r="DS89" s="705"/>
      <c r="DT89" s="705"/>
      <c r="DU89" s="705"/>
      <c r="DV89" s="705"/>
      <c r="DW89" s="705"/>
      <c r="DX89" s="705"/>
      <c r="DY89" s="705"/>
      <c r="DZ89" s="705"/>
      <c r="EA89" s="705"/>
      <c r="EB89" s="705"/>
      <c r="EC89" s="705"/>
      <c r="ED89" s="705"/>
      <c r="EE89" s="705"/>
      <c r="EF89" s="705"/>
      <c r="EG89" s="705"/>
      <c r="EH89" s="705"/>
      <c r="EI89" s="705"/>
      <c r="EJ89" s="705"/>
      <c r="EK89" s="705"/>
      <c r="EL89" s="705"/>
      <c r="EM89" s="705"/>
      <c r="EN89" s="705"/>
      <c r="EO89" s="705"/>
      <c r="EP89" s="705"/>
      <c r="EQ89" s="705"/>
      <c r="ER89" s="705"/>
      <c r="ES89" s="705"/>
      <c r="ET89" s="705"/>
      <c r="EU89" s="705"/>
      <c r="EV89" s="705"/>
      <c r="EW89" s="705"/>
      <c r="EX89" s="705"/>
      <c r="EY89" s="705"/>
      <c r="EZ89" s="705"/>
      <c r="FA89" s="705"/>
      <c r="FB89" s="705"/>
      <c r="FC89" s="705"/>
      <c r="FD89" s="705"/>
      <c r="FE89" s="705"/>
      <c r="FF89" s="705"/>
      <c r="FG89" s="705"/>
      <c r="FH89" s="705"/>
      <c r="FI89" s="705"/>
      <c r="FJ89" s="705"/>
      <c r="FK89" s="705"/>
      <c r="FL89" s="705"/>
      <c r="FM89" s="705"/>
      <c r="FN89" s="705"/>
      <c r="FO89" s="705"/>
      <c r="FP89" s="705"/>
      <c r="FQ89" s="705"/>
      <c r="FR89" s="705"/>
      <c r="FS89" s="705"/>
      <c r="FT89" s="705"/>
      <c r="FU89" s="705"/>
      <c r="FV89" s="705"/>
      <c r="FW89" s="705"/>
      <c r="FX89" s="705"/>
      <c r="FY89" s="705"/>
      <c r="FZ89" s="705"/>
      <c r="GA89" s="705"/>
      <c r="GB89" s="705"/>
      <c r="GC89" s="705"/>
      <c r="GD89" s="705"/>
      <c r="GE89" s="705"/>
      <c r="GF89" s="705"/>
      <c r="GG89" s="705"/>
      <c r="GH89" s="705"/>
      <c r="GI89" s="705"/>
      <c r="GJ89" s="705"/>
      <c r="GK89" s="705"/>
      <c r="GL89" s="705"/>
      <c r="GM89" s="705"/>
      <c r="GN89" s="705"/>
      <c r="GO89" s="705"/>
      <c r="GP89" s="705"/>
      <c r="GQ89" s="705"/>
      <c r="GR89" s="705"/>
      <c r="GS89" s="705"/>
      <c r="GT89" s="705"/>
      <c r="GU89" s="705"/>
      <c r="GV89" s="705"/>
      <c r="GW89" s="705"/>
      <c r="GX89" s="705"/>
      <c r="GY89" s="705"/>
      <c r="GZ89" s="705"/>
      <c r="HA89" s="705"/>
      <c r="HB89" s="705"/>
      <c r="HC89" s="705"/>
      <c r="HD89" s="705"/>
      <c r="HE89" s="705"/>
      <c r="HF89" s="705"/>
      <c r="HG89" s="705"/>
      <c r="HH89" s="705"/>
      <c r="HI89" s="705"/>
      <c r="HJ89" s="705"/>
      <c r="HK89" s="705"/>
      <c r="HL89" s="705"/>
      <c r="HM89" s="705"/>
      <c r="HN89" s="705"/>
      <c r="HO89" s="705"/>
      <c r="HP89" s="705"/>
      <c r="HQ89" s="705"/>
      <c r="HR89" s="705"/>
      <c r="HS89" s="705"/>
      <c r="HT89" s="705"/>
      <c r="HU89" s="705"/>
      <c r="HV89" s="705"/>
      <c r="HW89" s="705"/>
    </row>
    <row r="90" spans="1:231" ht="14.1" customHeight="1">
      <c r="A90" s="705"/>
      <c r="B90" s="732"/>
      <c r="C90" s="732"/>
      <c r="E90" s="753"/>
      <c r="F90" s="705"/>
      <c r="G90" s="705"/>
      <c r="H90" s="705"/>
      <c r="I90" s="705"/>
      <c r="K90" s="724"/>
      <c r="L90" s="704"/>
      <c r="M90" s="704"/>
      <c r="N90" s="704"/>
      <c r="O90" s="704"/>
      <c r="P90" s="704"/>
      <c r="Q90" s="704"/>
      <c r="R90" s="704"/>
      <c r="S90" s="704"/>
      <c r="T90" s="704"/>
      <c r="U90" s="704"/>
      <c r="V90" s="704"/>
      <c r="W90" s="704"/>
      <c r="X90" s="705"/>
      <c r="Y90" s="705"/>
      <c r="Z90" s="705"/>
      <c r="AA90" s="705"/>
      <c r="AB90" s="705"/>
      <c r="AC90" s="705"/>
      <c r="AD90" s="705"/>
      <c r="AE90" s="705"/>
      <c r="AF90" s="705"/>
      <c r="AG90" s="705"/>
      <c r="AH90" s="705"/>
      <c r="AI90" s="705"/>
      <c r="AJ90" s="705"/>
      <c r="AK90" s="705"/>
      <c r="AL90" s="705"/>
      <c r="AM90" s="705"/>
      <c r="AN90" s="705"/>
      <c r="AO90" s="705"/>
      <c r="AP90" s="705"/>
      <c r="AQ90" s="705"/>
      <c r="AR90" s="705"/>
      <c r="AS90" s="705"/>
      <c r="AT90" s="705"/>
      <c r="AU90" s="705"/>
      <c r="AV90" s="705"/>
      <c r="AW90" s="705"/>
      <c r="AX90" s="705"/>
      <c r="AY90" s="705"/>
      <c r="AZ90" s="705"/>
      <c r="BA90" s="705"/>
      <c r="BB90" s="705"/>
      <c r="BC90" s="705"/>
      <c r="BD90" s="705"/>
      <c r="BE90" s="705"/>
      <c r="BF90" s="705"/>
      <c r="BG90" s="705"/>
      <c r="BH90" s="705"/>
      <c r="BI90" s="705"/>
      <c r="BJ90" s="705"/>
      <c r="BK90" s="705"/>
      <c r="BL90" s="705"/>
      <c r="BM90" s="705"/>
      <c r="BN90" s="705"/>
      <c r="BO90" s="705"/>
      <c r="BP90" s="705"/>
      <c r="BQ90" s="705"/>
      <c r="BR90" s="705"/>
      <c r="BS90" s="705"/>
      <c r="BT90" s="705"/>
      <c r="BU90" s="705"/>
      <c r="BV90" s="705"/>
      <c r="BW90" s="705"/>
      <c r="BX90" s="705"/>
      <c r="BY90" s="705"/>
      <c r="BZ90" s="705"/>
      <c r="CA90" s="705"/>
      <c r="CB90" s="705"/>
      <c r="CC90" s="705"/>
      <c r="CD90" s="705"/>
      <c r="CE90" s="705"/>
      <c r="CF90" s="705"/>
      <c r="CG90" s="705"/>
      <c r="CH90" s="705"/>
      <c r="CI90" s="705"/>
      <c r="CJ90" s="705"/>
      <c r="CK90" s="705"/>
      <c r="CL90" s="705"/>
      <c r="CM90" s="705"/>
      <c r="CN90" s="705"/>
      <c r="CO90" s="705"/>
      <c r="CP90" s="705"/>
      <c r="CQ90" s="705"/>
      <c r="CR90" s="705"/>
      <c r="CS90" s="705"/>
      <c r="CT90" s="705"/>
      <c r="CU90" s="705"/>
      <c r="CV90" s="705"/>
      <c r="CW90" s="705"/>
      <c r="CX90" s="705"/>
      <c r="CY90" s="705"/>
      <c r="CZ90" s="705"/>
      <c r="DA90" s="705"/>
      <c r="DB90" s="705"/>
      <c r="DC90" s="705"/>
      <c r="DD90" s="705"/>
      <c r="DE90" s="705"/>
      <c r="DF90" s="705"/>
      <c r="DG90" s="705"/>
      <c r="DH90" s="705"/>
      <c r="DI90" s="705"/>
      <c r="DJ90" s="705"/>
      <c r="DK90" s="705"/>
      <c r="DL90" s="705"/>
      <c r="DM90" s="705"/>
      <c r="DN90" s="705"/>
      <c r="DO90" s="705"/>
      <c r="DP90" s="705"/>
      <c r="DQ90" s="705"/>
      <c r="DR90" s="705"/>
      <c r="DS90" s="705"/>
      <c r="DT90" s="705"/>
      <c r="DU90" s="705"/>
      <c r="DV90" s="705"/>
      <c r="DW90" s="705"/>
      <c r="DX90" s="705"/>
      <c r="DY90" s="705"/>
      <c r="DZ90" s="705"/>
      <c r="EA90" s="705"/>
      <c r="EB90" s="705"/>
      <c r="EC90" s="705"/>
      <c r="ED90" s="705"/>
      <c r="EE90" s="705"/>
      <c r="EF90" s="705"/>
      <c r="EG90" s="705"/>
      <c r="EH90" s="705"/>
      <c r="EI90" s="705"/>
      <c r="EJ90" s="705"/>
      <c r="EK90" s="705"/>
      <c r="EL90" s="705"/>
      <c r="EM90" s="705"/>
      <c r="EN90" s="705"/>
      <c r="EO90" s="705"/>
      <c r="EP90" s="705"/>
      <c r="EQ90" s="705"/>
      <c r="ER90" s="705"/>
      <c r="ES90" s="705"/>
      <c r="ET90" s="705"/>
      <c r="EU90" s="705"/>
      <c r="EV90" s="705"/>
      <c r="EW90" s="705"/>
      <c r="EX90" s="705"/>
      <c r="EY90" s="705"/>
      <c r="EZ90" s="705"/>
      <c r="FA90" s="705"/>
      <c r="FB90" s="705"/>
      <c r="FC90" s="705"/>
      <c r="FD90" s="705"/>
      <c r="FE90" s="705"/>
      <c r="FF90" s="705"/>
      <c r="FG90" s="705"/>
      <c r="FH90" s="705"/>
      <c r="FI90" s="705"/>
      <c r="FJ90" s="705"/>
      <c r="FK90" s="705"/>
      <c r="FL90" s="705"/>
      <c r="FM90" s="705"/>
      <c r="FN90" s="705"/>
      <c r="FO90" s="705"/>
      <c r="FP90" s="705"/>
      <c r="FQ90" s="705"/>
      <c r="FR90" s="705"/>
      <c r="FS90" s="705"/>
      <c r="FT90" s="705"/>
      <c r="FU90" s="705"/>
      <c r="FV90" s="705"/>
      <c r="FW90" s="705"/>
      <c r="FX90" s="705"/>
      <c r="FY90" s="705"/>
      <c r="FZ90" s="705"/>
      <c r="GA90" s="705"/>
      <c r="GB90" s="705"/>
      <c r="GC90" s="705"/>
      <c r="GD90" s="705"/>
      <c r="GE90" s="705"/>
      <c r="GF90" s="705"/>
      <c r="GG90" s="705"/>
      <c r="GH90" s="705"/>
      <c r="GI90" s="705"/>
      <c r="GJ90" s="705"/>
      <c r="GK90" s="705"/>
      <c r="GL90" s="705"/>
      <c r="GM90" s="705"/>
      <c r="GN90" s="705"/>
      <c r="GO90" s="705"/>
      <c r="GP90" s="705"/>
      <c r="GQ90" s="705"/>
      <c r="GR90" s="705"/>
      <c r="GS90" s="705"/>
      <c r="GT90" s="705"/>
      <c r="GU90" s="705"/>
      <c r="GV90" s="705"/>
      <c r="GW90" s="705"/>
      <c r="GX90" s="705"/>
      <c r="GY90" s="705"/>
      <c r="GZ90" s="705"/>
      <c r="HA90" s="705"/>
      <c r="HB90" s="705"/>
      <c r="HC90" s="705"/>
      <c r="HD90" s="705"/>
      <c r="HE90" s="705"/>
      <c r="HF90" s="705"/>
      <c r="HG90" s="705"/>
      <c r="HH90" s="705"/>
      <c r="HI90" s="705"/>
      <c r="HJ90" s="705"/>
      <c r="HK90" s="705"/>
      <c r="HL90" s="705"/>
      <c r="HM90" s="705"/>
      <c r="HN90" s="705"/>
      <c r="HO90" s="705"/>
      <c r="HP90" s="705"/>
      <c r="HQ90" s="705"/>
      <c r="HR90" s="705"/>
      <c r="HS90" s="705"/>
      <c r="HT90" s="705"/>
      <c r="HU90" s="705"/>
      <c r="HV90" s="705"/>
      <c r="HW90" s="705"/>
    </row>
    <row r="91" spans="1:231" ht="14.1" customHeight="1">
      <c r="A91" s="705"/>
      <c r="B91" s="732"/>
      <c r="C91" s="732"/>
      <c r="E91" s="753"/>
      <c r="F91" s="705"/>
      <c r="G91" s="705"/>
      <c r="H91" s="705"/>
      <c r="I91" s="705"/>
      <c r="K91" s="724"/>
      <c r="L91" s="704"/>
      <c r="M91" s="704"/>
      <c r="N91" s="704"/>
      <c r="O91" s="704"/>
      <c r="P91" s="704"/>
      <c r="Q91" s="704"/>
      <c r="R91" s="704"/>
      <c r="S91" s="704"/>
      <c r="T91" s="704"/>
      <c r="U91" s="704"/>
      <c r="V91" s="704"/>
      <c r="W91" s="704"/>
      <c r="X91" s="705"/>
      <c r="Y91" s="705"/>
      <c r="Z91" s="705"/>
      <c r="AA91" s="705"/>
      <c r="AB91" s="705"/>
      <c r="AC91" s="705"/>
      <c r="AD91" s="705"/>
      <c r="AE91" s="705"/>
      <c r="AF91" s="705"/>
      <c r="AG91" s="705"/>
      <c r="AH91" s="705"/>
      <c r="AI91" s="705"/>
      <c r="AJ91" s="705"/>
      <c r="AK91" s="705"/>
      <c r="AL91" s="705"/>
      <c r="AM91" s="705"/>
      <c r="AN91" s="705"/>
      <c r="AO91" s="705"/>
      <c r="AP91" s="705"/>
      <c r="AQ91" s="705"/>
      <c r="AR91" s="705"/>
      <c r="AS91" s="705"/>
      <c r="AT91" s="705"/>
      <c r="AU91" s="705"/>
      <c r="AV91" s="705"/>
      <c r="AW91" s="705"/>
      <c r="AX91" s="705"/>
      <c r="AY91" s="705"/>
      <c r="AZ91" s="705"/>
      <c r="BA91" s="705"/>
      <c r="BB91" s="705"/>
      <c r="BC91" s="705"/>
      <c r="BD91" s="705"/>
      <c r="BE91" s="705"/>
      <c r="BF91" s="705"/>
      <c r="BG91" s="705"/>
      <c r="BH91" s="705"/>
      <c r="BI91" s="705"/>
      <c r="BJ91" s="705"/>
      <c r="BK91" s="705"/>
      <c r="BL91" s="705"/>
      <c r="BM91" s="705"/>
      <c r="BN91" s="705"/>
      <c r="BO91" s="705"/>
      <c r="BP91" s="705"/>
      <c r="BQ91" s="705"/>
      <c r="BR91" s="705"/>
      <c r="BS91" s="705"/>
      <c r="BT91" s="705"/>
      <c r="BU91" s="705"/>
      <c r="BV91" s="705"/>
      <c r="BW91" s="705"/>
      <c r="BX91" s="705"/>
      <c r="BY91" s="705"/>
      <c r="BZ91" s="705"/>
      <c r="CA91" s="705"/>
      <c r="CB91" s="705"/>
      <c r="CC91" s="705"/>
      <c r="CD91" s="705"/>
      <c r="CE91" s="705"/>
      <c r="CF91" s="705"/>
      <c r="CG91" s="705"/>
      <c r="CH91" s="705"/>
      <c r="CI91" s="705"/>
      <c r="CJ91" s="705"/>
      <c r="CK91" s="705"/>
      <c r="CL91" s="705"/>
      <c r="CM91" s="705"/>
      <c r="CN91" s="705"/>
      <c r="CO91" s="705"/>
      <c r="CP91" s="705"/>
      <c r="CQ91" s="705"/>
      <c r="CR91" s="705"/>
      <c r="CS91" s="705"/>
      <c r="CT91" s="705"/>
      <c r="CU91" s="705"/>
      <c r="CV91" s="705"/>
      <c r="CW91" s="705"/>
      <c r="CX91" s="705"/>
      <c r="CY91" s="705"/>
      <c r="CZ91" s="705"/>
      <c r="DA91" s="705"/>
      <c r="DB91" s="705"/>
      <c r="DC91" s="705"/>
      <c r="DD91" s="705"/>
      <c r="DE91" s="705"/>
      <c r="DF91" s="705"/>
      <c r="DG91" s="705"/>
      <c r="DH91" s="705"/>
      <c r="DI91" s="705"/>
      <c r="DJ91" s="705"/>
      <c r="DK91" s="705"/>
      <c r="DL91" s="705"/>
      <c r="DM91" s="705"/>
      <c r="DN91" s="705"/>
      <c r="DO91" s="705"/>
      <c r="DP91" s="705"/>
      <c r="DQ91" s="705"/>
      <c r="DR91" s="705"/>
      <c r="DS91" s="705"/>
      <c r="DT91" s="705"/>
      <c r="DU91" s="705"/>
      <c r="DV91" s="705"/>
      <c r="DW91" s="705"/>
      <c r="DX91" s="705"/>
      <c r="DY91" s="705"/>
      <c r="DZ91" s="705"/>
      <c r="EA91" s="705"/>
      <c r="EB91" s="705"/>
      <c r="EC91" s="705"/>
      <c r="ED91" s="705"/>
      <c r="EE91" s="705"/>
      <c r="EF91" s="705"/>
      <c r="EG91" s="705"/>
      <c r="EH91" s="705"/>
      <c r="EI91" s="705"/>
      <c r="EJ91" s="705"/>
      <c r="EK91" s="705"/>
      <c r="EL91" s="705"/>
      <c r="EM91" s="705"/>
      <c r="EN91" s="705"/>
      <c r="EO91" s="705"/>
      <c r="EP91" s="705"/>
      <c r="EQ91" s="705"/>
      <c r="ER91" s="705"/>
      <c r="ES91" s="705"/>
      <c r="ET91" s="705"/>
      <c r="EU91" s="705"/>
      <c r="EV91" s="705"/>
      <c r="EW91" s="705"/>
      <c r="EX91" s="705"/>
      <c r="EY91" s="705"/>
      <c r="EZ91" s="705"/>
      <c r="FA91" s="705"/>
      <c r="FB91" s="705"/>
      <c r="FC91" s="705"/>
      <c r="FD91" s="705"/>
      <c r="FE91" s="705"/>
      <c r="FF91" s="705"/>
      <c r="FG91" s="705"/>
      <c r="FH91" s="705"/>
      <c r="FI91" s="705"/>
      <c r="FJ91" s="705"/>
      <c r="FK91" s="705"/>
      <c r="FL91" s="705"/>
      <c r="FM91" s="705"/>
      <c r="FN91" s="705"/>
      <c r="FO91" s="705"/>
      <c r="FP91" s="705"/>
      <c r="FQ91" s="705"/>
      <c r="FR91" s="705"/>
      <c r="FS91" s="705"/>
      <c r="FT91" s="705"/>
      <c r="FU91" s="705"/>
      <c r="FV91" s="705"/>
      <c r="FW91" s="705"/>
      <c r="FX91" s="705"/>
      <c r="FY91" s="705"/>
      <c r="FZ91" s="705"/>
      <c r="GA91" s="705"/>
      <c r="GB91" s="705"/>
      <c r="GC91" s="705"/>
      <c r="GD91" s="705"/>
      <c r="GE91" s="705"/>
      <c r="GF91" s="705"/>
      <c r="GG91" s="705"/>
      <c r="GH91" s="705"/>
      <c r="GI91" s="705"/>
      <c r="GJ91" s="705"/>
      <c r="GK91" s="705"/>
      <c r="GL91" s="705"/>
      <c r="GM91" s="705"/>
      <c r="GN91" s="705"/>
      <c r="GO91" s="705"/>
      <c r="GP91" s="705"/>
      <c r="GQ91" s="705"/>
      <c r="GR91" s="705"/>
      <c r="GS91" s="705"/>
      <c r="GT91" s="705"/>
      <c r="GU91" s="705"/>
      <c r="GV91" s="705"/>
      <c r="GW91" s="705"/>
      <c r="GX91" s="705"/>
      <c r="GY91" s="705"/>
      <c r="GZ91" s="705"/>
      <c r="HA91" s="705"/>
      <c r="HB91" s="705"/>
      <c r="HC91" s="705"/>
      <c r="HD91" s="705"/>
      <c r="HE91" s="705"/>
      <c r="HF91" s="705"/>
      <c r="HG91" s="705"/>
      <c r="HH91" s="705"/>
      <c r="HI91" s="705"/>
      <c r="HJ91" s="705"/>
      <c r="HK91" s="705"/>
      <c r="HL91" s="705"/>
      <c r="HM91" s="705"/>
      <c r="HN91" s="705"/>
      <c r="HO91" s="705"/>
      <c r="HP91" s="705"/>
      <c r="HQ91" s="705"/>
      <c r="HR91" s="705"/>
      <c r="HS91" s="705"/>
      <c r="HT91" s="705"/>
      <c r="HU91" s="705"/>
      <c r="HV91" s="705"/>
      <c r="HW91" s="705"/>
    </row>
    <row r="92" spans="1:231" ht="14.1" customHeight="1">
      <c r="A92" s="705"/>
      <c r="B92" s="732"/>
      <c r="C92" s="732"/>
      <c r="E92" s="753"/>
      <c r="F92" s="705"/>
      <c r="G92" s="705"/>
      <c r="H92" s="705"/>
      <c r="I92" s="705"/>
      <c r="K92" s="724"/>
      <c r="L92" s="704"/>
      <c r="M92" s="704"/>
      <c r="N92" s="704"/>
      <c r="O92" s="704"/>
      <c r="P92" s="704"/>
      <c r="Q92" s="704"/>
      <c r="R92" s="704"/>
      <c r="S92" s="704"/>
      <c r="T92" s="704"/>
      <c r="U92" s="704"/>
      <c r="V92" s="704"/>
      <c r="W92" s="704"/>
      <c r="X92" s="705"/>
      <c r="Y92" s="705"/>
      <c r="Z92" s="705"/>
      <c r="AA92" s="705"/>
      <c r="AB92" s="705"/>
      <c r="AC92" s="705"/>
      <c r="AD92" s="705"/>
      <c r="AE92" s="705"/>
      <c r="AF92" s="705"/>
      <c r="AG92" s="705"/>
      <c r="AH92" s="705"/>
      <c r="AI92" s="705"/>
      <c r="AJ92" s="705"/>
      <c r="AK92" s="705"/>
      <c r="AL92" s="705"/>
      <c r="AM92" s="705"/>
      <c r="AN92" s="705"/>
      <c r="AO92" s="705"/>
      <c r="AP92" s="705"/>
      <c r="AQ92" s="705"/>
      <c r="AR92" s="705"/>
      <c r="AS92" s="705"/>
      <c r="AT92" s="705"/>
      <c r="AU92" s="705"/>
      <c r="AV92" s="705"/>
      <c r="AW92" s="705"/>
      <c r="AX92" s="705"/>
      <c r="AY92" s="705"/>
      <c r="AZ92" s="705"/>
      <c r="BA92" s="705"/>
      <c r="BB92" s="705"/>
      <c r="BC92" s="705"/>
      <c r="BD92" s="705"/>
      <c r="BE92" s="705"/>
      <c r="BF92" s="705"/>
      <c r="BG92" s="705"/>
      <c r="BH92" s="705"/>
      <c r="BI92" s="705"/>
      <c r="BJ92" s="705"/>
      <c r="BK92" s="705"/>
      <c r="BL92" s="705"/>
      <c r="BM92" s="705"/>
      <c r="BN92" s="705"/>
      <c r="BO92" s="705"/>
      <c r="BP92" s="705"/>
      <c r="BQ92" s="705"/>
      <c r="BR92" s="705"/>
      <c r="BS92" s="705"/>
      <c r="BT92" s="705"/>
      <c r="BU92" s="705"/>
      <c r="BV92" s="705"/>
      <c r="BW92" s="705"/>
      <c r="BX92" s="705"/>
      <c r="BY92" s="705"/>
      <c r="BZ92" s="705"/>
      <c r="CA92" s="705"/>
      <c r="CB92" s="705"/>
      <c r="CC92" s="705"/>
      <c r="CD92" s="705"/>
      <c r="CE92" s="705"/>
      <c r="CF92" s="705"/>
      <c r="CG92" s="705"/>
      <c r="CH92" s="705"/>
      <c r="CI92" s="705"/>
      <c r="CJ92" s="705"/>
      <c r="CK92" s="705"/>
      <c r="CL92" s="705"/>
      <c r="CM92" s="705"/>
      <c r="CN92" s="705"/>
      <c r="CO92" s="705"/>
      <c r="CP92" s="705"/>
      <c r="CQ92" s="705"/>
      <c r="CR92" s="705"/>
      <c r="CS92" s="705"/>
      <c r="CT92" s="705"/>
      <c r="CU92" s="705"/>
      <c r="CV92" s="705"/>
      <c r="CW92" s="705"/>
      <c r="CX92" s="705"/>
      <c r="CY92" s="705"/>
      <c r="CZ92" s="705"/>
      <c r="DA92" s="705"/>
      <c r="DB92" s="705"/>
      <c r="DC92" s="705"/>
      <c r="DD92" s="705"/>
      <c r="DE92" s="705"/>
      <c r="DF92" s="705"/>
      <c r="DG92" s="705"/>
      <c r="DH92" s="705"/>
      <c r="DI92" s="705"/>
      <c r="DJ92" s="705"/>
      <c r="DK92" s="705"/>
      <c r="DL92" s="705"/>
      <c r="DM92" s="705"/>
      <c r="DN92" s="705"/>
      <c r="DO92" s="705"/>
      <c r="DP92" s="705"/>
      <c r="DQ92" s="705"/>
      <c r="DR92" s="705"/>
      <c r="DS92" s="705"/>
      <c r="DT92" s="705"/>
      <c r="DU92" s="705"/>
      <c r="DV92" s="705"/>
      <c r="DW92" s="705"/>
      <c r="DX92" s="705"/>
      <c r="DY92" s="705"/>
      <c r="DZ92" s="705"/>
      <c r="EA92" s="705"/>
      <c r="EB92" s="705"/>
      <c r="EC92" s="705"/>
      <c r="ED92" s="705"/>
      <c r="EE92" s="705"/>
      <c r="EF92" s="705"/>
      <c r="EG92" s="705"/>
      <c r="EH92" s="705"/>
      <c r="EI92" s="705"/>
      <c r="EJ92" s="705"/>
      <c r="EK92" s="705"/>
      <c r="EL92" s="705"/>
      <c r="EM92" s="705"/>
      <c r="EN92" s="705"/>
      <c r="EO92" s="705"/>
      <c r="EP92" s="705"/>
      <c r="EQ92" s="705"/>
      <c r="ER92" s="705"/>
      <c r="ES92" s="705"/>
      <c r="ET92" s="705"/>
      <c r="EU92" s="705"/>
      <c r="EV92" s="705"/>
      <c r="EW92" s="705"/>
      <c r="EX92" s="705"/>
      <c r="EY92" s="705"/>
      <c r="EZ92" s="705"/>
      <c r="FA92" s="705"/>
      <c r="FB92" s="705"/>
      <c r="FC92" s="705"/>
      <c r="FD92" s="705"/>
      <c r="FE92" s="705"/>
      <c r="FF92" s="705"/>
      <c r="FG92" s="705"/>
      <c r="FH92" s="705"/>
      <c r="FI92" s="705"/>
      <c r="FJ92" s="705"/>
      <c r="FK92" s="705"/>
      <c r="FL92" s="705"/>
      <c r="FM92" s="705"/>
      <c r="FN92" s="705"/>
      <c r="FO92" s="705"/>
      <c r="FP92" s="705"/>
      <c r="FQ92" s="705"/>
      <c r="FR92" s="705"/>
      <c r="FS92" s="705"/>
      <c r="FT92" s="705"/>
      <c r="FU92" s="705"/>
      <c r="FV92" s="705"/>
      <c r="FW92" s="705"/>
      <c r="FX92" s="705"/>
      <c r="FY92" s="705"/>
      <c r="FZ92" s="705"/>
      <c r="GA92" s="705"/>
      <c r="GB92" s="705"/>
      <c r="GC92" s="705"/>
      <c r="GD92" s="705"/>
      <c r="GE92" s="705"/>
      <c r="GF92" s="705"/>
      <c r="GG92" s="705"/>
      <c r="GH92" s="705"/>
      <c r="GI92" s="705"/>
      <c r="GJ92" s="705"/>
      <c r="GK92" s="705"/>
      <c r="GL92" s="705"/>
      <c r="GM92" s="705"/>
      <c r="GN92" s="705"/>
      <c r="GO92" s="705"/>
      <c r="GP92" s="705"/>
      <c r="GQ92" s="705"/>
      <c r="GR92" s="705"/>
      <c r="GS92" s="705"/>
      <c r="GT92" s="705"/>
      <c r="GU92" s="705"/>
      <c r="GV92" s="705"/>
      <c r="GW92" s="705"/>
      <c r="GX92" s="705"/>
      <c r="GY92" s="705"/>
      <c r="GZ92" s="705"/>
      <c r="HA92" s="705"/>
      <c r="HB92" s="705"/>
      <c r="HC92" s="705"/>
      <c r="HD92" s="705"/>
      <c r="HE92" s="705"/>
      <c r="HF92" s="705"/>
      <c r="HG92" s="705"/>
      <c r="HH92" s="705"/>
      <c r="HI92" s="705"/>
      <c r="HJ92" s="705"/>
      <c r="HK92" s="705"/>
      <c r="HL92" s="705"/>
      <c r="HM92" s="705"/>
      <c r="HN92" s="705"/>
      <c r="HO92" s="705"/>
      <c r="HP92" s="705"/>
      <c r="HQ92" s="705"/>
      <c r="HR92" s="705"/>
      <c r="HS92" s="705"/>
      <c r="HT92" s="705"/>
      <c r="HU92" s="705"/>
      <c r="HV92" s="705"/>
      <c r="HW92" s="705"/>
    </row>
    <row r="93" spans="1:231" ht="14.1" customHeight="1">
      <c r="A93" s="705"/>
      <c r="B93" s="732"/>
      <c r="C93" s="732"/>
      <c r="E93" s="753"/>
      <c r="F93" s="705"/>
      <c r="G93" s="705"/>
      <c r="H93" s="705"/>
      <c r="I93" s="705"/>
      <c r="K93" s="724"/>
      <c r="L93" s="704"/>
      <c r="M93" s="704"/>
      <c r="N93" s="704"/>
      <c r="O93" s="704"/>
      <c r="P93" s="704"/>
      <c r="Q93" s="704"/>
      <c r="R93" s="704"/>
      <c r="S93" s="704"/>
      <c r="T93" s="704"/>
      <c r="U93" s="704"/>
      <c r="V93" s="704"/>
      <c r="W93" s="704"/>
      <c r="X93" s="705"/>
      <c r="Y93" s="705"/>
      <c r="Z93" s="705"/>
      <c r="AA93" s="705"/>
      <c r="AB93" s="705"/>
      <c r="AC93" s="705"/>
      <c r="AD93" s="705"/>
      <c r="AE93" s="705"/>
      <c r="AF93" s="705"/>
      <c r="AG93" s="705"/>
      <c r="AH93" s="705"/>
      <c r="AI93" s="705"/>
      <c r="AJ93" s="705"/>
      <c r="AK93" s="705"/>
      <c r="AL93" s="705"/>
      <c r="AM93" s="705"/>
      <c r="AN93" s="705"/>
      <c r="AO93" s="705"/>
      <c r="AP93" s="705"/>
      <c r="AQ93" s="705"/>
      <c r="AR93" s="705"/>
      <c r="AS93" s="705"/>
      <c r="AT93" s="705"/>
      <c r="AU93" s="705"/>
      <c r="AV93" s="705"/>
      <c r="AW93" s="705"/>
      <c r="AX93" s="705"/>
      <c r="AY93" s="705"/>
      <c r="AZ93" s="705"/>
      <c r="BA93" s="705"/>
      <c r="BB93" s="705"/>
      <c r="BC93" s="705"/>
      <c r="BD93" s="705"/>
      <c r="BE93" s="705"/>
      <c r="BF93" s="705"/>
      <c r="BG93" s="705"/>
      <c r="BH93" s="705"/>
      <c r="BI93" s="705"/>
      <c r="BJ93" s="705"/>
      <c r="BK93" s="705"/>
      <c r="BL93" s="705"/>
      <c r="BM93" s="705"/>
      <c r="BN93" s="705"/>
      <c r="BO93" s="705"/>
      <c r="BP93" s="705"/>
      <c r="BQ93" s="705"/>
      <c r="BR93" s="705"/>
      <c r="BS93" s="705"/>
      <c r="BT93" s="705"/>
      <c r="BU93" s="705"/>
      <c r="BV93" s="705"/>
      <c r="BW93" s="705"/>
      <c r="BX93" s="705"/>
      <c r="BY93" s="705"/>
      <c r="BZ93" s="705"/>
      <c r="CA93" s="705"/>
      <c r="CB93" s="705"/>
      <c r="CC93" s="705"/>
      <c r="CD93" s="705"/>
      <c r="CE93" s="705"/>
      <c r="CF93" s="705"/>
      <c r="CG93" s="705"/>
      <c r="CH93" s="705"/>
      <c r="CI93" s="705"/>
      <c r="CJ93" s="705"/>
      <c r="CK93" s="705"/>
      <c r="CL93" s="705"/>
      <c r="CM93" s="705"/>
      <c r="CN93" s="705"/>
      <c r="CO93" s="705"/>
      <c r="CP93" s="705"/>
      <c r="CQ93" s="705"/>
      <c r="CR93" s="705"/>
      <c r="CS93" s="705"/>
      <c r="CT93" s="705"/>
      <c r="CU93" s="705"/>
      <c r="CV93" s="705"/>
      <c r="CW93" s="705"/>
      <c r="CX93" s="705"/>
      <c r="CY93" s="705"/>
      <c r="CZ93" s="705"/>
      <c r="DA93" s="705"/>
      <c r="DB93" s="705"/>
      <c r="DC93" s="705"/>
      <c r="DD93" s="705"/>
      <c r="DE93" s="705"/>
      <c r="DF93" s="705"/>
      <c r="DG93" s="705"/>
      <c r="DH93" s="705"/>
      <c r="DI93" s="705"/>
      <c r="DJ93" s="705"/>
      <c r="DK93" s="705"/>
      <c r="DL93" s="705"/>
      <c r="DM93" s="705"/>
      <c r="DN93" s="705"/>
      <c r="DO93" s="705"/>
      <c r="DP93" s="705"/>
      <c r="DQ93" s="705"/>
      <c r="DR93" s="705"/>
      <c r="DS93" s="705"/>
      <c r="DT93" s="705"/>
      <c r="DU93" s="705"/>
      <c r="DV93" s="705"/>
      <c r="DW93" s="705"/>
      <c r="DX93" s="705"/>
      <c r="DY93" s="705"/>
      <c r="DZ93" s="705"/>
      <c r="EA93" s="705"/>
      <c r="EB93" s="705"/>
      <c r="EC93" s="705"/>
      <c r="ED93" s="705"/>
      <c r="EE93" s="705"/>
      <c r="EF93" s="705"/>
      <c r="EG93" s="705"/>
      <c r="EH93" s="705"/>
      <c r="EI93" s="705"/>
      <c r="EJ93" s="705"/>
      <c r="EK93" s="705"/>
      <c r="EL93" s="705"/>
      <c r="EM93" s="705"/>
      <c r="EN93" s="705"/>
      <c r="EO93" s="705"/>
      <c r="EP93" s="705"/>
      <c r="EQ93" s="705"/>
      <c r="ER93" s="705"/>
      <c r="ES93" s="705"/>
      <c r="ET93" s="705"/>
      <c r="EU93" s="705"/>
      <c r="EV93" s="705"/>
      <c r="EW93" s="705"/>
      <c r="EX93" s="705"/>
      <c r="EY93" s="705"/>
      <c r="EZ93" s="705"/>
      <c r="FA93" s="705"/>
      <c r="FB93" s="705"/>
      <c r="FC93" s="705"/>
      <c r="FD93" s="705"/>
      <c r="FE93" s="705"/>
      <c r="FF93" s="705"/>
      <c r="FG93" s="705"/>
      <c r="FH93" s="705"/>
      <c r="FI93" s="705"/>
      <c r="FJ93" s="705"/>
      <c r="FK93" s="705"/>
      <c r="FL93" s="705"/>
      <c r="FM93" s="705"/>
      <c r="FN93" s="705"/>
      <c r="FO93" s="705"/>
      <c r="FP93" s="705"/>
      <c r="FQ93" s="705"/>
      <c r="FR93" s="705"/>
      <c r="FS93" s="705"/>
      <c r="FT93" s="705"/>
      <c r="FU93" s="705"/>
      <c r="FV93" s="705"/>
      <c r="FW93" s="705"/>
      <c r="FX93" s="705"/>
      <c r="FY93" s="705"/>
      <c r="FZ93" s="705"/>
      <c r="GA93" s="705"/>
      <c r="GB93" s="705"/>
      <c r="GC93" s="705"/>
      <c r="GD93" s="705"/>
      <c r="GE93" s="705"/>
      <c r="GF93" s="705"/>
      <c r="GG93" s="705"/>
      <c r="GH93" s="705"/>
      <c r="GI93" s="705"/>
      <c r="GJ93" s="705"/>
      <c r="GK93" s="705"/>
      <c r="GL93" s="705"/>
      <c r="GM93" s="705"/>
      <c r="GN93" s="705"/>
      <c r="GO93" s="705"/>
      <c r="GP93" s="705"/>
      <c r="GQ93" s="705"/>
      <c r="GR93" s="705"/>
      <c r="GS93" s="705"/>
      <c r="GT93" s="705"/>
      <c r="GU93" s="705"/>
      <c r="GV93" s="705"/>
      <c r="GW93" s="705"/>
      <c r="GX93" s="705"/>
      <c r="GY93" s="705"/>
      <c r="GZ93" s="705"/>
      <c r="HA93" s="705"/>
      <c r="HB93" s="705"/>
      <c r="HC93" s="705"/>
      <c r="HD93" s="705"/>
      <c r="HE93" s="705"/>
      <c r="HF93" s="705"/>
      <c r="HG93" s="705"/>
      <c r="HH93" s="705"/>
      <c r="HI93" s="705"/>
      <c r="HJ93" s="705"/>
      <c r="HK93" s="705"/>
      <c r="HL93" s="705"/>
      <c r="HM93" s="705"/>
      <c r="HN93" s="705"/>
      <c r="HO93" s="705"/>
      <c r="HP93" s="705"/>
      <c r="HQ93" s="705"/>
      <c r="HR93" s="705"/>
      <c r="HS93" s="705"/>
      <c r="HT93" s="705"/>
      <c r="HU93" s="705"/>
      <c r="HV93" s="705"/>
      <c r="HW93" s="705"/>
    </row>
    <row r="94" spans="1:231" ht="14.1" customHeight="1">
      <c r="A94" s="705"/>
      <c r="B94" s="732"/>
      <c r="C94" s="732"/>
      <c r="E94" s="753"/>
      <c r="F94" s="705"/>
      <c r="G94" s="705"/>
      <c r="H94" s="705"/>
      <c r="I94" s="705"/>
      <c r="K94" s="724"/>
      <c r="L94" s="704"/>
      <c r="M94" s="704"/>
      <c r="N94" s="704"/>
      <c r="O94" s="704"/>
      <c r="P94" s="704"/>
      <c r="Q94" s="704"/>
      <c r="R94" s="704"/>
      <c r="S94" s="704"/>
      <c r="T94" s="704"/>
      <c r="U94" s="704"/>
      <c r="V94" s="704"/>
      <c r="W94" s="704"/>
      <c r="X94" s="705"/>
      <c r="Y94" s="705"/>
      <c r="Z94" s="705"/>
      <c r="AA94" s="705"/>
      <c r="AB94" s="705"/>
      <c r="AC94" s="705"/>
      <c r="AD94" s="705"/>
      <c r="AE94" s="705"/>
      <c r="AF94" s="705"/>
      <c r="AG94" s="705"/>
      <c r="AH94" s="705"/>
      <c r="AI94" s="705"/>
      <c r="AJ94" s="705"/>
      <c r="AK94" s="705"/>
      <c r="AL94" s="705"/>
      <c r="AM94" s="705"/>
      <c r="AN94" s="705"/>
      <c r="AO94" s="705"/>
      <c r="AP94" s="705"/>
      <c r="AQ94" s="705"/>
      <c r="AR94" s="705"/>
      <c r="AS94" s="705"/>
      <c r="AT94" s="705"/>
      <c r="AU94" s="705"/>
      <c r="AV94" s="705"/>
      <c r="AW94" s="705"/>
      <c r="AX94" s="705"/>
      <c r="AY94" s="705"/>
      <c r="AZ94" s="705"/>
      <c r="BA94" s="705"/>
      <c r="BB94" s="705"/>
      <c r="BC94" s="705"/>
      <c r="BD94" s="705"/>
      <c r="BE94" s="705"/>
      <c r="BF94" s="705"/>
      <c r="BG94" s="705"/>
      <c r="BH94" s="705"/>
      <c r="BI94" s="705"/>
      <c r="BJ94" s="705"/>
      <c r="BK94" s="705"/>
      <c r="BL94" s="705"/>
      <c r="BM94" s="705"/>
      <c r="BN94" s="705"/>
      <c r="BO94" s="705"/>
      <c r="BP94" s="705"/>
      <c r="BQ94" s="705"/>
      <c r="BR94" s="705"/>
      <c r="BS94" s="705"/>
      <c r="BT94" s="705"/>
      <c r="BU94" s="705"/>
      <c r="BV94" s="705"/>
      <c r="BW94" s="705"/>
      <c r="BX94" s="705"/>
      <c r="BY94" s="705"/>
      <c r="BZ94" s="705"/>
      <c r="CA94" s="705"/>
      <c r="CB94" s="705"/>
      <c r="CC94" s="705"/>
      <c r="CD94" s="705"/>
      <c r="CE94" s="705"/>
      <c r="CF94" s="705"/>
      <c r="CG94" s="705"/>
      <c r="CH94" s="705"/>
      <c r="CI94" s="705"/>
      <c r="CJ94" s="705"/>
      <c r="CK94" s="705"/>
      <c r="CL94" s="705"/>
      <c r="CM94" s="705"/>
      <c r="CN94" s="705"/>
      <c r="CO94" s="705"/>
      <c r="CP94" s="705"/>
      <c r="CQ94" s="705"/>
      <c r="CR94" s="705"/>
      <c r="CS94" s="705"/>
      <c r="CT94" s="705"/>
      <c r="CU94" s="705"/>
      <c r="CV94" s="705"/>
      <c r="CW94" s="705"/>
      <c r="CX94" s="705"/>
      <c r="CY94" s="705"/>
      <c r="CZ94" s="705"/>
      <c r="DA94" s="705"/>
      <c r="DB94" s="705"/>
      <c r="DC94" s="705"/>
      <c r="DD94" s="705"/>
      <c r="DE94" s="705"/>
      <c r="DF94" s="705"/>
      <c r="DG94" s="705"/>
      <c r="DH94" s="705"/>
      <c r="DI94" s="705"/>
      <c r="DJ94" s="705"/>
      <c r="DK94" s="705"/>
      <c r="DL94" s="705"/>
      <c r="DM94" s="705"/>
      <c r="DN94" s="705"/>
      <c r="DO94" s="705"/>
      <c r="DP94" s="705"/>
      <c r="DQ94" s="705"/>
      <c r="DR94" s="705"/>
      <c r="DS94" s="705"/>
      <c r="DT94" s="705"/>
      <c r="DU94" s="705"/>
      <c r="DV94" s="705"/>
      <c r="DW94" s="705"/>
      <c r="DX94" s="705"/>
      <c r="DY94" s="705"/>
      <c r="DZ94" s="705"/>
      <c r="EA94" s="705"/>
      <c r="EB94" s="705"/>
      <c r="EC94" s="705"/>
      <c r="ED94" s="705"/>
      <c r="EE94" s="705"/>
      <c r="EF94" s="705"/>
      <c r="EG94" s="705"/>
      <c r="EH94" s="705"/>
      <c r="EI94" s="705"/>
      <c r="EJ94" s="705"/>
      <c r="EK94" s="705"/>
      <c r="EL94" s="705"/>
      <c r="EM94" s="705"/>
      <c r="EN94" s="705"/>
      <c r="EO94" s="705"/>
      <c r="EP94" s="705"/>
      <c r="EQ94" s="705"/>
      <c r="ER94" s="705"/>
      <c r="ES94" s="705"/>
      <c r="ET94" s="705"/>
      <c r="EU94" s="705"/>
      <c r="EV94" s="705"/>
      <c r="EW94" s="705"/>
      <c r="EX94" s="705"/>
      <c r="EY94" s="705"/>
      <c r="EZ94" s="705"/>
      <c r="FA94" s="705"/>
      <c r="FB94" s="705"/>
      <c r="FC94" s="705"/>
      <c r="FD94" s="705"/>
      <c r="FE94" s="705"/>
      <c r="FF94" s="705"/>
      <c r="FG94" s="705"/>
      <c r="FH94" s="705"/>
      <c r="FI94" s="705"/>
      <c r="FJ94" s="705"/>
      <c r="FK94" s="705"/>
      <c r="FL94" s="705"/>
      <c r="FM94" s="705"/>
      <c r="FN94" s="705"/>
      <c r="FO94" s="705"/>
      <c r="FP94" s="705"/>
      <c r="FQ94" s="705"/>
      <c r="FR94" s="705"/>
      <c r="FS94" s="705"/>
      <c r="FT94" s="705"/>
      <c r="FU94" s="705"/>
      <c r="FV94" s="705"/>
      <c r="FW94" s="705"/>
      <c r="FX94" s="705"/>
      <c r="FY94" s="705"/>
      <c r="FZ94" s="705"/>
      <c r="GA94" s="705"/>
      <c r="GB94" s="705"/>
      <c r="GC94" s="705"/>
      <c r="GD94" s="705"/>
      <c r="GE94" s="705"/>
      <c r="GF94" s="705"/>
      <c r="GG94" s="705"/>
      <c r="GH94" s="705"/>
      <c r="GI94" s="705"/>
      <c r="GJ94" s="705"/>
      <c r="GK94" s="705"/>
      <c r="GL94" s="705"/>
      <c r="GM94" s="705"/>
      <c r="GN94" s="705"/>
      <c r="GO94" s="705"/>
      <c r="GP94" s="705"/>
      <c r="GQ94" s="705"/>
      <c r="GR94" s="705"/>
      <c r="GS94" s="705"/>
      <c r="GT94" s="705"/>
      <c r="GU94" s="705"/>
      <c r="GV94" s="705"/>
      <c r="GW94" s="705"/>
      <c r="GX94" s="705"/>
      <c r="GY94" s="705"/>
      <c r="GZ94" s="705"/>
      <c r="HA94" s="705"/>
      <c r="HB94" s="705"/>
      <c r="HC94" s="705"/>
      <c r="HD94" s="705"/>
      <c r="HE94" s="705"/>
      <c r="HF94" s="705"/>
      <c r="HG94" s="705"/>
      <c r="HH94" s="705"/>
      <c r="HI94" s="705"/>
      <c r="HJ94" s="705"/>
      <c r="HK94" s="705"/>
      <c r="HL94" s="705"/>
      <c r="HM94" s="705"/>
      <c r="HN94" s="705"/>
      <c r="HO94" s="705"/>
      <c r="HP94" s="705"/>
      <c r="HQ94" s="705"/>
      <c r="HR94" s="705"/>
      <c r="HS94" s="705"/>
      <c r="HT94" s="705"/>
      <c r="HU94" s="705"/>
      <c r="HV94" s="705"/>
      <c r="HW94" s="705"/>
    </row>
    <row r="95" spans="1:231" ht="14.1" customHeight="1">
      <c r="A95" s="705"/>
      <c r="B95" s="732"/>
      <c r="C95" s="732"/>
      <c r="E95" s="753"/>
      <c r="F95" s="705"/>
      <c r="G95" s="705"/>
      <c r="H95" s="705"/>
      <c r="I95" s="705"/>
      <c r="K95" s="724"/>
      <c r="L95" s="704"/>
      <c r="M95" s="704"/>
      <c r="N95" s="704"/>
      <c r="O95" s="704"/>
      <c r="P95" s="704"/>
      <c r="Q95" s="704"/>
      <c r="R95" s="704"/>
      <c r="S95" s="704"/>
      <c r="T95" s="704"/>
      <c r="U95" s="704"/>
      <c r="V95" s="704"/>
      <c r="W95" s="704"/>
      <c r="X95" s="705"/>
      <c r="Y95" s="705"/>
      <c r="Z95" s="705"/>
      <c r="AA95" s="705"/>
      <c r="AB95" s="705"/>
      <c r="AC95" s="705"/>
      <c r="AD95" s="705"/>
      <c r="AE95" s="705"/>
      <c r="AF95" s="705"/>
      <c r="AG95" s="705"/>
      <c r="AH95" s="705"/>
      <c r="AI95" s="705"/>
      <c r="AJ95" s="705"/>
      <c r="AK95" s="705"/>
      <c r="AL95" s="705"/>
      <c r="AM95" s="705"/>
      <c r="AN95" s="705"/>
      <c r="AO95" s="705"/>
      <c r="AP95" s="705"/>
      <c r="AQ95" s="705"/>
      <c r="AR95" s="705"/>
      <c r="AS95" s="705"/>
      <c r="AT95" s="705"/>
      <c r="AU95" s="705"/>
      <c r="AV95" s="705"/>
      <c r="AW95" s="705"/>
      <c r="AX95" s="705"/>
      <c r="AY95" s="705"/>
      <c r="AZ95" s="705"/>
      <c r="BA95" s="705"/>
      <c r="BB95" s="705"/>
      <c r="BC95" s="705"/>
      <c r="BD95" s="705"/>
      <c r="BE95" s="705"/>
      <c r="BF95" s="705"/>
      <c r="BG95" s="705"/>
      <c r="BH95" s="705"/>
      <c r="BI95" s="705"/>
      <c r="BJ95" s="705"/>
      <c r="BK95" s="705"/>
      <c r="BL95" s="705"/>
      <c r="BM95" s="705"/>
      <c r="BN95" s="705"/>
      <c r="BO95" s="705"/>
      <c r="BP95" s="705"/>
      <c r="BQ95" s="705"/>
      <c r="BR95" s="705"/>
      <c r="BS95" s="705"/>
      <c r="BT95" s="705"/>
      <c r="BU95" s="705"/>
      <c r="BV95" s="705"/>
      <c r="BW95" s="705"/>
      <c r="BX95" s="705"/>
      <c r="BY95" s="705"/>
      <c r="BZ95" s="705"/>
      <c r="CA95" s="705"/>
      <c r="CB95" s="705"/>
      <c r="CC95" s="705"/>
      <c r="CD95" s="705"/>
      <c r="CE95" s="705"/>
      <c r="CF95" s="705"/>
      <c r="CG95" s="705"/>
      <c r="CH95" s="705"/>
      <c r="CI95" s="705"/>
      <c r="CJ95" s="705"/>
      <c r="CK95" s="705"/>
      <c r="CL95" s="705"/>
      <c r="CM95" s="705"/>
      <c r="CN95" s="705"/>
      <c r="CO95" s="705"/>
      <c r="CP95" s="705"/>
      <c r="CQ95" s="705"/>
      <c r="CR95" s="705"/>
      <c r="CS95" s="705"/>
      <c r="CT95" s="705"/>
      <c r="CU95" s="705"/>
      <c r="CV95" s="705"/>
      <c r="CW95" s="705"/>
      <c r="CX95" s="705"/>
      <c r="CY95" s="705"/>
      <c r="CZ95" s="705"/>
      <c r="DA95" s="705"/>
      <c r="DB95" s="705"/>
      <c r="DC95" s="705"/>
      <c r="DD95" s="705"/>
      <c r="DE95" s="705"/>
      <c r="DF95" s="705"/>
      <c r="DG95" s="705"/>
      <c r="DH95" s="705"/>
      <c r="DI95" s="705"/>
      <c r="DJ95" s="705"/>
      <c r="DK95" s="705"/>
      <c r="DL95" s="705"/>
      <c r="DM95" s="705"/>
      <c r="DN95" s="705"/>
      <c r="DO95" s="705"/>
      <c r="DP95" s="705"/>
      <c r="DQ95" s="705"/>
      <c r="DR95" s="705"/>
      <c r="DS95" s="705"/>
      <c r="DT95" s="705"/>
      <c r="DU95" s="705"/>
      <c r="DV95" s="705"/>
      <c r="DW95" s="705"/>
      <c r="DX95" s="705"/>
      <c r="DY95" s="705"/>
      <c r="DZ95" s="705"/>
      <c r="EA95" s="705"/>
      <c r="EB95" s="705"/>
      <c r="EC95" s="705"/>
      <c r="ED95" s="705"/>
      <c r="EE95" s="705"/>
      <c r="EF95" s="705"/>
      <c r="EG95" s="705"/>
      <c r="EH95" s="705"/>
      <c r="EI95" s="705"/>
      <c r="EJ95" s="705"/>
      <c r="EK95" s="705"/>
      <c r="EL95" s="705"/>
      <c r="EM95" s="705"/>
      <c r="EN95" s="705"/>
      <c r="EO95" s="705"/>
      <c r="EP95" s="705"/>
      <c r="EQ95" s="705"/>
      <c r="ER95" s="705"/>
      <c r="ES95" s="705"/>
      <c r="ET95" s="705"/>
      <c r="EU95" s="705"/>
      <c r="EV95" s="705"/>
      <c r="EW95" s="705"/>
      <c r="EX95" s="705"/>
      <c r="EY95" s="705"/>
      <c r="EZ95" s="705"/>
      <c r="FA95" s="705"/>
      <c r="FB95" s="705"/>
      <c r="FC95" s="705"/>
      <c r="FD95" s="705"/>
      <c r="FE95" s="705"/>
      <c r="FF95" s="705"/>
      <c r="FG95" s="705"/>
      <c r="FH95" s="705"/>
      <c r="FI95" s="705"/>
      <c r="FJ95" s="705"/>
      <c r="FK95" s="705"/>
      <c r="FL95" s="705"/>
      <c r="FM95" s="705"/>
      <c r="FN95" s="705"/>
      <c r="FO95" s="705"/>
      <c r="FP95" s="705"/>
      <c r="FQ95" s="705"/>
      <c r="FR95" s="705"/>
      <c r="FS95" s="705"/>
      <c r="FT95" s="705"/>
      <c r="FU95" s="705"/>
      <c r="FV95" s="705"/>
      <c r="FW95" s="705"/>
      <c r="FX95" s="705"/>
      <c r="FY95" s="705"/>
      <c r="FZ95" s="705"/>
      <c r="GA95" s="705"/>
      <c r="GB95" s="705"/>
      <c r="GC95" s="705"/>
      <c r="GD95" s="705"/>
      <c r="GE95" s="705"/>
      <c r="GF95" s="705"/>
      <c r="GG95" s="705"/>
      <c r="GH95" s="705"/>
      <c r="GI95" s="705"/>
      <c r="GJ95" s="705"/>
      <c r="GK95" s="705"/>
      <c r="GL95" s="705"/>
      <c r="GM95" s="705"/>
      <c r="GN95" s="705"/>
      <c r="GO95" s="705"/>
      <c r="GP95" s="705"/>
      <c r="GQ95" s="705"/>
      <c r="GR95" s="705"/>
      <c r="GS95" s="705"/>
      <c r="GT95" s="705"/>
      <c r="GU95" s="705"/>
      <c r="GV95" s="705"/>
      <c r="GW95" s="705"/>
      <c r="GX95" s="705"/>
      <c r="GY95" s="705"/>
      <c r="GZ95" s="705"/>
      <c r="HA95" s="705"/>
      <c r="HB95" s="705"/>
      <c r="HC95" s="705"/>
      <c r="HD95" s="705"/>
      <c r="HE95" s="705"/>
      <c r="HF95" s="705"/>
      <c r="HG95" s="705"/>
      <c r="HH95" s="705"/>
      <c r="HI95" s="705"/>
      <c r="HJ95" s="705"/>
      <c r="HK95" s="705"/>
      <c r="HL95" s="705"/>
      <c r="HM95" s="705"/>
      <c r="HN95" s="705"/>
      <c r="HO95" s="705"/>
      <c r="HP95" s="705"/>
      <c r="HQ95" s="705"/>
      <c r="HR95" s="705"/>
      <c r="HS95" s="705"/>
      <c r="HT95" s="705"/>
      <c r="HU95" s="705"/>
      <c r="HV95" s="705"/>
      <c r="HW95" s="705"/>
    </row>
    <row r="96" spans="1:231" ht="14.1" customHeight="1">
      <c r="A96" s="705"/>
      <c r="B96" s="732"/>
      <c r="C96" s="732"/>
      <c r="E96" s="753"/>
      <c r="F96" s="705"/>
      <c r="G96" s="705"/>
      <c r="H96" s="705"/>
      <c r="I96" s="705"/>
      <c r="K96" s="724"/>
      <c r="L96" s="704"/>
      <c r="M96" s="704"/>
      <c r="N96" s="704"/>
      <c r="O96" s="704"/>
      <c r="P96" s="704"/>
      <c r="Q96" s="704"/>
      <c r="R96" s="704"/>
      <c r="S96" s="704"/>
      <c r="T96" s="704"/>
      <c r="U96" s="704"/>
      <c r="V96" s="704"/>
      <c r="W96" s="704"/>
      <c r="X96" s="705"/>
      <c r="Y96" s="705"/>
      <c r="Z96" s="705"/>
      <c r="AA96" s="705"/>
      <c r="AB96" s="705"/>
      <c r="AC96" s="705"/>
      <c r="AD96" s="705"/>
      <c r="AE96" s="705"/>
      <c r="AF96" s="705"/>
      <c r="AG96" s="705"/>
      <c r="AH96" s="705"/>
      <c r="AI96" s="705"/>
      <c r="AJ96" s="705"/>
      <c r="AK96" s="705"/>
      <c r="AL96" s="705"/>
      <c r="AM96" s="705"/>
      <c r="AN96" s="705"/>
      <c r="AO96" s="705"/>
      <c r="AP96" s="705"/>
      <c r="AQ96" s="705"/>
      <c r="AR96" s="705"/>
      <c r="AS96" s="705"/>
      <c r="AT96" s="705"/>
      <c r="AU96" s="705"/>
      <c r="AV96" s="705"/>
      <c r="AW96" s="705"/>
      <c r="AX96" s="705"/>
      <c r="AY96" s="705"/>
      <c r="AZ96" s="705"/>
      <c r="BA96" s="705"/>
      <c r="BB96" s="705"/>
      <c r="BC96" s="705"/>
      <c r="BD96" s="705"/>
      <c r="BE96" s="705"/>
      <c r="BF96" s="705"/>
      <c r="BG96" s="705"/>
      <c r="BH96" s="705"/>
      <c r="BI96" s="705"/>
      <c r="BJ96" s="705"/>
      <c r="BK96" s="705"/>
      <c r="BL96" s="705"/>
      <c r="BM96" s="705"/>
      <c r="BN96" s="705"/>
      <c r="BO96" s="705"/>
      <c r="BP96" s="705"/>
      <c r="BQ96" s="705"/>
      <c r="BR96" s="705"/>
      <c r="BS96" s="705"/>
      <c r="BT96" s="705"/>
      <c r="BU96" s="705"/>
      <c r="BV96" s="705"/>
      <c r="BW96" s="705"/>
      <c r="BX96" s="705"/>
      <c r="BY96" s="705"/>
      <c r="BZ96" s="705"/>
      <c r="CA96" s="705"/>
      <c r="CB96" s="705"/>
      <c r="CC96" s="705"/>
      <c r="CD96" s="705"/>
      <c r="CE96" s="705"/>
      <c r="CF96" s="705"/>
      <c r="CG96" s="705"/>
      <c r="CH96" s="705"/>
      <c r="CI96" s="705"/>
      <c r="CJ96" s="705"/>
      <c r="CK96" s="705"/>
      <c r="CL96" s="705"/>
      <c r="CM96" s="705"/>
      <c r="CN96" s="705"/>
      <c r="CO96" s="705"/>
      <c r="CP96" s="705"/>
      <c r="CQ96" s="705"/>
      <c r="CR96" s="705"/>
      <c r="CS96" s="705"/>
      <c r="CT96" s="705"/>
      <c r="CU96" s="705"/>
      <c r="CV96" s="705"/>
      <c r="CW96" s="705"/>
      <c r="CX96" s="705"/>
      <c r="CY96" s="705"/>
      <c r="CZ96" s="705"/>
      <c r="DA96" s="705"/>
      <c r="DB96" s="705"/>
      <c r="DC96" s="705"/>
      <c r="DD96" s="705"/>
      <c r="DE96" s="705"/>
      <c r="DF96" s="705"/>
      <c r="DG96" s="705"/>
      <c r="DH96" s="705"/>
      <c r="DI96" s="705"/>
      <c r="DJ96" s="705"/>
      <c r="DK96" s="705"/>
      <c r="DL96" s="705"/>
      <c r="DM96" s="705"/>
      <c r="DN96" s="705"/>
      <c r="DO96" s="705"/>
      <c r="DP96" s="705"/>
      <c r="DQ96" s="705"/>
      <c r="DR96" s="705"/>
      <c r="DS96" s="705"/>
      <c r="DT96" s="705"/>
      <c r="DU96" s="705"/>
      <c r="DV96" s="705"/>
      <c r="DW96" s="705"/>
      <c r="DX96" s="705"/>
      <c r="DY96" s="705"/>
      <c r="DZ96" s="705"/>
      <c r="EA96" s="705"/>
      <c r="EB96" s="705"/>
      <c r="EC96" s="705"/>
      <c r="ED96" s="705"/>
      <c r="EE96" s="705"/>
      <c r="EF96" s="705"/>
      <c r="EG96" s="705"/>
      <c r="EH96" s="705"/>
      <c r="EI96" s="705"/>
      <c r="EJ96" s="705"/>
      <c r="EK96" s="705"/>
      <c r="EL96" s="705"/>
      <c r="EM96" s="705"/>
      <c r="EN96" s="705"/>
      <c r="EO96" s="705"/>
      <c r="EP96" s="705"/>
      <c r="EQ96" s="705"/>
      <c r="ER96" s="705"/>
      <c r="ES96" s="705"/>
      <c r="ET96" s="705"/>
      <c r="EU96" s="705"/>
      <c r="EV96" s="705"/>
      <c r="EW96" s="705"/>
      <c r="EX96" s="705"/>
      <c r="EY96" s="705"/>
      <c r="EZ96" s="705"/>
      <c r="FA96" s="705"/>
      <c r="FB96" s="705"/>
      <c r="FC96" s="705"/>
      <c r="FD96" s="705"/>
      <c r="FE96" s="705"/>
      <c r="FF96" s="705"/>
      <c r="FG96" s="705"/>
      <c r="FH96" s="705"/>
      <c r="FI96" s="705"/>
      <c r="FJ96" s="705"/>
      <c r="FK96" s="705"/>
      <c r="FL96" s="705"/>
      <c r="FM96" s="705"/>
      <c r="FN96" s="705"/>
      <c r="FO96" s="705"/>
      <c r="FP96" s="705"/>
      <c r="FQ96" s="705"/>
      <c r="FR96" s="705"/>
      <c r="FS96" s="705"/>
      <c r="FT96" s="705"/>
      <c r="FU96" s="705"/>
      <c r="FV96" s="705"/>
      <c r="FW96" s="705"/>
      <c r="FX96" s="705"/>
      <c r="FY96" s="705"/>
      <c r="FZ96" s="705"/>
      <c r="GA96" s="705"/>
      <c r="GB96" s="705"/>
      <c r="GC96" s="705"/>
      <c r="GD96" s="705"/>
      <c r="GE96" s="705"/>
      <c r="GF96" s="705"/>
      <c r="GG96" s="705"/>
      <c r="GH96" s="705"/>
      <c r="GI96" s="705"/>
      <c r="GJ96" s="705"/>
      <c r="GK96" s="705"/>
      <c r="GL96" s="705"/>
      <c r="GM96" s="705"/>
      <c r="GN96" s="705"/>
      <c r="GO96" s="705"/>
      <c r="GP96" s="705"/>
      <c r="GQ96" s="705"/>
      <c r="GR96" s="705"/>
      <c r="GS96" s="705"/>
      <c r="GT96" s="705"/>
      <c r="GU96" s="705"/>
      <c r="GV96" s="705"/>
      <c r="GW96" s="705"/>
      <c r="GX96" s="705"/>
      <c r="GY96" s="705"/>
      <c r="GZ96" s="705"/>
      <c r="HA96" s="705"/>
      <c r="HB96" s="705"/>
      <c r="HC96" s="705"/>
      <c r="HD96" s="705"/>
      <c r="HE96" s="705"/>
      <c r="HF96" s="705"/>
      <c r="HG96" s="705"/>
      <c r="HH96" s="705"/>
      <c r="HI96" s="705"/>
      <c r="HJ96" s="705"/>
      <c r="HK96" s="705"/>
      <c r="HL96" s="705"/>
      <c r="HM96" s="705"/>
      <c r="HN96" s="705"/>
      <c r="HO96" s="705"/>
      <c r="HP96" s="705"/>
      <c r="HQ96" s="705"/>
      <c r="HR96" s="705"/>
      <c r="HS96" s="705"/>
      <c r="HT96" s="705"/>
      <c r="HU96" s="705"/>
      <c r="HV96" s="705"/>
      <c r="HW96" s="705"/>
    </row>
    <row r="97" spans="1:231" ht="14.1" customHeight="1">
      <c r="A97" s="705"/>
      <c r="B97" s="732"/>
      <c r="C97" s="732"/>
      <c r="E97" s="753"/>
      <c r="F97" s="705"/>
      <c r="G97" s="705"/>
      <c r="H97" s="705"/>
      <c r="I97" s="705"/>
      <c r="K97" s="724"/>
      <c r="L97" s="704"/>
      <c r="M97" s="704"/>
      <c r="N97" s="704"/>
      <c r="O97" s="704"/>
      <c r="P97" s="704"/>
      <c r="Q97" s="704"/>
      <c r="R97" s="704"/>
      <c r="S97" s="704"/>
      <c r="T97" s="704"/>
      <c r="U97" s="704"/>
      <c r="V97" s="704"/>
      <c r="W97" s="704"/>
      <c r="X97" s="705"/>
      <c r="Y97" s="705"/>
      <c r="Z97" s="705"/>
      <c r="AA97" s="705"/>
      <c r="AB97" s="705"/>
      <c r="AC97" s="705"/>
      <c r="AD97" s="705"/>
      <c r="AE97" s="705"/>
      <c r="AF97" s="705"/>
      <c r="AG97" s="705"/>
      <c r="AH97" s="705"/>
      <c r="AI97" s="705"/>
      <c r="AJ97" s="705"/>
      <c r="AK97" s="705"/>
      <c r="AL97" s="705"/>
      <c r="AM97" s="705"/>
      <c r="AN97" s="705"/>
      <c r="AO97" s="705"/>
      <c r="AP97" s="705"/>
      <c r="AQ97" s="705"/>
      <c r="AR97" s="705"/>
      <c r="AS97" s="705"/>
      <c r="AT97" s="705"/>
      <c r="AU97" s="705"/>
      <c r="AV97" s="705"/>
      <c r="AW97" s="705"/>
      <c r="AX97" s="705"/>
      <c r="AY97" s="705"/>
      <c r="AZ97" s="705"/>
      <c r="BA97" s="705"/>
      <c r="BB97" s="705"/>
      <c r="BC97" s="705"/>
      <c r="BD97" s="705"/>
      <c r="BE97" s="705"/>
      <c r="BF97" s="705"/>
      <c r="BG97" s="705"/>
      <c r="BH97" s="705"/>
      <c r="BI97" s="705"/>
      <c r="BJ97" s="705"/>
      <c r="BK97" s="705"/>
      <c r="BL97" s="705"/>
      <c r="BM97" s="705"/>
      <c r="BN97" s="705"/>
      <c r="BO97" s="705"/>
      <c r="BP97" s="705"/>
      <c r="BQ97" s="705"/>
      <c r="BR97" s="705"/>
      <c r="BS97" s="705"/>
      <c r="BT97" s="705"/>
      <c r="BU97" s="705"/>
      <c r="BV97" s="705"/>
      <c r="BW97" s="705"/>
      <c r="BX97" s="705"/>
      <c r="BY97" s="705"/>
      <c r="BZ97" s="705"/>
      <c r="CA97" s="705"/>
      <c r="CB97" s="705"/>
      <c r="CC97" s="705"/>
      <c r="CD97" s="705"/>
      <c r="CE97" s="705"/>
      <c r="CF97" s="705"/>
      <c r="CG97" s="705"/>
      <c r="CH97" s="705"/>
      <c r="CI97" s="705"/>
      <c r="CJ97" s="705"/>
      <c r="CK97" s="705"/>
      <c r="CL97" s="705"/>
      <c r="CM97" s="705"/>
      <c r="CN97" s="705"/>
      <c r="CO97" s="705"/>
      <c r="CP97" s="705"/>
      <c r="CQ97" s="705"/>
      <c r="CR97" s="705"/>
      <c r="CS97" s="705"/>
      <c r="CT97" s="705"/>
      <c r="CU97" s="705"/>
      <c r="CV97" s="705"/>
      <c r="CW97" s="705"/>
      <c r="CX97" s="705"/>
      <c r="CY97" s="705"/>
      <c r="CZ97" s="705"/>
      <c r="DA97" s="705"/>
      <c r="DB97" s="705"/>
      <c r="DC97" s="705"/>
      <c r="DD97" s="705"/>
      <c r="DE97" s="705"/>
      <c r="DF97" s="705"/>
      <c r="DG97" s="705"/>
      <c r="DH97" s="705"/>
      <c r="DI97" s="705"/>
      <c r="DJ97" s="705"/>
      <c r="DK97" s="705"/>
      <c r="DL97" s="705"/>
      <c r="DM97" s="705"/>
      <c r="DN97" s="705"/>
      <c r="DO97" s="705"/>
      <c r="DP97" s="705"/>
      <c r="DQ97" s="705"/>
      <c r="DR97" s="705"/>
      <c r="DS97" s="705"/>
      <c r="DT97" s="705"/>
      <c r="DU97" s="705"/>
      <c r="DV97" s="705"/>
      <c r="DW97" s="705"/>
      <c r="DX97" s="705"/>
      <c r="DY97" s="705"/>
      <c r="DZ97" s="705"/>
      <c r="EA97" s="705"/>
      <c r="EB97" s="705"/>
      <c r="EC97" s="705"/>
      <c r="ED97" s="705"/>
      <c r="EE97" s="705"/>
      <c r="EF97" s="705"/>
      <c r="EG97" s="705"/>
      <c r="EH97" s="705"/>
      <c r="EI97" s="705"/>
      <c r="EJ97" s="705"/>
      <c r="EK97" s="705"/>
      <c r="EL97" s="705"/>
      <c r="EM97" s="705"/>
      <c r="EN97" s="705"/>
      <c r="EO97" s="705"/>
      <c r="EP97" s="705"/>
      <c r="EQ97" s="705"/>
      <c r="ER97" s="705"/>
      <c r="ES97" s="705"/>
      <c r="ET97" s="705"/>
      <c r="EU97" s="705"/>
      <c r="EV97" s="705"/>
      <c r="EW97" s="705"/>
      <c r="EX97" s="705"/>
      <c r="EY97" s="705"/>
      <c r="EZ97" s="705"/>
      <c r="FA97" s="705"/>
      <c r="FB97" s="705"/>
      <c r="FC97" s="705"/>
      <c r="FD97" s="705"/>
      <c r="FE97" s="705"/>
      <c r="FF97" s="705"/>
      <c r="FG97" s="705"/>
      <c r="FH97" s="705"/>
      <c r="FI97" s="705"/>
      <c r="FJ97" s="705"/>
      <c r="FK97" s="705"/>
      <c r="FL97" s="705"/>
      <c r="FM97" s="705"/>
      <c r="FN97" s="705"/>
      <c r="FO97" s="705"/>
      <c r="FP97" s="705"/>
      <c r="FQ97" s="705"/>
      <c r="FR97" s="705"/>
      <c r="FS97" s="705"/>
      <c r="FT97" s="705"/>
      <c r="FU97" s="705"/>
      <c r="FV97" s="705"/>
      <c r="FW97" s="705"/>
      <c r="FX97" s="705"/>
      <c r="FY97" s="705"/>
      <c r="FZ97" s="705"/>
      <c r="GA97" s="705"/>
      <c r="GB97" s="705"/>
      <c r="GC97" s="705"/>
      <c r="GD97" s="705"/>
      <c r="GE97" s="705"/>
      <c r="GF97" s="705"/>
      <c r="GG97" s="705"/>
      <c r="GH97" s="705"/>
      <c r="GI97" s="705"/>
      <c r="GJ97" s="705"/>
      <c r="GK97" s="705"/>
      <c r="GL97" s="705"/>
      <c r="GM97" s="705"/>
      <c r="GN97" s="705"/>
      <c r="GO97" s="705"/>
      <c r="GP97" s="705"/>
      <c r="GQ97" s="705"/>
      <c r="GR97" s="705"/>
      <c r="GS97" s="705"/>
      <c r="GT97" s="705"/>
      <c r="GU97" s="705"/>
      <c r="GV97" s="705"/>
      <c r="GW97" s="705"/>
      <c r="GX97" s="705"/>
      <c r="GY97" s="705"/>
      <c r="GZ97" s="705"/>
      <c r="HA97" s="705"/>
      <c r="HB97" s="705"/>
      <c r="HC97" s="705"/>
      <c r="HD97" s="705"/>
      <c r="HE97" s="705"/>
      <c r="HF97" s="705"/>
      <c r="HG97" s="705"/>
      <c r="HH97" s="705"/>
      <c r="HI97" s="705"/>
      <c r="HJ97" s="705"/>
      <c r="HK97" s="705"/>
      <c r="HL97" s="705"/>
      <c r="HM97" s="705"/>
      <c r="HN97" s="705"/>
      <c r="HO97" s="705"/>
      <c r="HP97" s="705"/>
      <c r="HQ97" s="705"/>
      <c r="HR97" s="705"/>
      <c r="HS97" s="705"/>
      <c r="HT97" s="705"/>
      <c r="HU97" s="705"/>
      <c r="HV97" s="705"/>
      <c r="HW97" s="705"/>
    </row>
    <row r="98" spans="1:231" ht="14.1" customHeight="1">
      <c r="A98" s="705"/>
      <c r="B98" s="732"/>
      <c r="C98" s="732"/>
      <c r="E98" s="753"/>
      <c r="F98" s="705"/>
      <c r="G98" s="705"/>
      <c r="H98" s="705"/>
      <c r="I98" s="705"/>
      <c r="K98" s="724"/>
      <c r="L98" s="704"/>
      <c r="M98" s="704"/>
      <c r="N98" s="704"/>
      <c r="O98" s="704"/>
      <c r="P98" s="704"/>
      <c r="Q98" s="704"/>
      <c r="R98" s="704"/>
      <c r="S98" s="704"/>
      <c r="T98" s="704"/>
      <c r="U98" s="704"/>
      <c r="V98" s="704"/>
      <c r="W98" s="704"/>
      <c r="X98" s="705"/>
      <c r="Y98" s="705"/>
      <c r="Z98" s="705"/>
      <c r="AA98" s="705"/>
      <c r="AB98" s="705"/>
      <c r="AC98" s="705"/>
      <c r="AD98" s="705"/>
      <c r="AE98" s="705"/>
      <c r="AF98" s="705"/>
      <c r="AG98" s="705"/>
      <c r="AH98" s="705"/>
      <c r="AI98" s="705"/>
      <c r="AJ98" s="705"/>
      <c r="AK98" s="705"/>
      <c r="AL98" s="705"/>
      <c r="AM98" s="705"/>
      <c r="AN98" s="705"/>
      <c r="AO98" s="705"/>
      <c r="AP98" s="705"/>
      <c r="AQ98" s="705"/>
      <c r="AR98" s="705"/>
      <c r="AS98" s="705"/>
      <c r="AT98" s="705"/>
      <c r="AU98" s="705"/>
      <c r="AV98" s="705"/>
      <c r="AW98" s="705"/>
      <c r="AX98" s="705"/>
      <c r="AY98" s="705"/>
      <c r="AZ98" s="705"/>
      <c r="BA98" s="705"/>
      <c r="BB98" s="705"/>
      <c r="BC98" s="705"/>
      <c r="BD98" s="705"/>
      <c r="BE98" s="705"/>
      <c r="BF98" s="705"/>
      <c r="BG98" s="705"/>
      <c r="BH98" s="705"/>
      <c r="BI98" s="705"/>
      <c r="BJ98" s="705"/>
      <c r="BK98" s="705"/>
      <c r="BL98" s="705"/>
      <c r="BM98" s="705"/>
      <c r="BN98" s="705"/>
      <c r="BO98" s="705"/>
      <c r="BP98" s="705"/>
      <c r="BQ98" s="705"/>
      <c r="BR98" s="705"/>
      <c r="BS98" s="705"/>
      <c r="BT98" s="705"/>
      <c r="BU98" s="705"/>
      <c r="BV98" s="705"/>
      <c r="BW98" s="705"/>
      <c r="BX98" s="705"/>
      <c r="BY98" s="705"/>
      <c r="BZ98" s="705"/>
      <c r="CA98" s="705"/>
      <c r="CB98" s="705"/>
      <c r="CC98" s="705"/>
      <c r="CD98" s="705"/>
      <c r="CE98" s="705"/>
      <c r="CF98" s="705"/>
      <c r="CG98" s="705"/>
      <c r="CH98" s="705"/>
      <c r="CI98" s="705"/>
      <c r="CJ98" s="705"/>
      <c r="CK98" s="705"/>
      <c r="CL98" s="705"/>
      <c r="CM98" s="705"/>
      <c r="CN98" s="705"/>
      <c r="CO98" s="705"/>
      <c r="CP98" s="705"/>
      <c r="CQ98" s="705"/>
      <c r="CR98" s="705"/>
      <c r="CS98" s="705"/>
      <c r="CT98" s="705"/>
      <c r="CU98" s="705"/>
      <c r="CV98" s="705"/>
      <c r="CW98" s="705"/>
      <c r="CX98" s="705"/>
      <c r="CY98" s="705"/>
      <c r="CZ98" s="705"/>
      <c r="DA98" s="705"/>
      <c r="DB98" s="705"/>
      <c r="DC98" s="705"/>
      <c r="DD98" s="705"/>
      <c r="DE98" s="705"/>
      <c r="DF98" s="705"/>
      <c r="DG98" s="705"/>
      <c r="DH98" s="705"/>
      <c r="DI98" s="705"/>
      <c r="DJ98" s="705"/>
      <c r="DK98" s="705"/>
      <c r="DL98" s="705"/>
      <c r="DM98" s="705"/>
      <c r="DN98" s="705"/>
      <c r="DO98" s="705"/>
      <c r="DP98" s="705"/>
      <c r="DQ98" s="705"/>
      <c r="DR98" s="705"/>
      <c r="DS98" s="705"/>
      <c r="DT98" s="705"/>
      <c r="DU98" s="705"/>
      <c r="DV98" s="705"/>
      <c r="DW98" s="705"/>
      <c r="DX98" s="705"/>
      <c r="DY98" s="705"/>
      <c r="DZ98" s="705"/>
      <c r="EA98" s="705"/>
      <c r="EB98" s="705"/>
      <c r="EC98" s="705"/>
      <c r="ED98" s="705"/>
      <c r="EE98" s="705"/>
      <c r="EF98" s="705"/>
      <c r="EG98" s="705"/>
      <c r="EH98" s="705"/>
      <c r="EI98" s="705"/>
      <c r="EJ98" s="705"/>
      <c r="EK98" s="705"/>
      <c r="EL98" s="705"/>
      <c r="EM98" s="705"/>
      <c r="EN98" s="705"/>
      <c r="EO98" s="705"/>
      <c r="EP98" s="705"/>
      <c r="EQ98" s="705"/>
      <c r="ER98" s="705"/>
      <c r="ES98" s="705"/>
      <c r="ET98" s="705"/>
      <c r="EU98" s="705"/>
      <c r="EV98" s="705"/>
      <c r="EW98" s="705"/>
      <c r="EX98" s="705"/>
      <c r="EY98" s="705"/>
      <c r="EZ98" s="705"/>
      <c r="FA98" s="705"/>
      <c r="FB98" s="705"/>
      <c r="FC98" s="705"/>
      <c r="FD98" s="705"/>
      <c r="FE98" s="705"/>
      <c r="FF98" s="705"/>
      <c r="FG98" s="705"/>
      <c r="FH98" s="705"/>
      <c r="FI98" s="705"/>
      <c r="FJ98" s="705"/>
      <c r="FK98" s="705"/>
      <c r="FL98" s="705"/>
      <c r="FM98" s="705"/>
      <c r="FN98" s="705"/>
      <c r="FO98" s="705"/>
      <c r="FP98" s="705"/>
      <c r="FQ98" s="705"/>
      <c r="FR98" s="705"/>
      <c r="FS98" s="705"/>
      <c r="FT98" s="705"/>
      <c r="FU98" s="705"/>
      <c r="FV98" s="705"/>
      <c r="FW98" s="705"/>
      <c r="FX98" s="705"/>
      <c r="FY98" s="705"/>
      <c r="FZ98" s="705"/>
      <c r="GA98" s="705"/>
      <c r="GB98" s="705"/>
      <c r="GC98" s="705"/>
      <c r="GD98" s="705"/>
      <c r="GE98" s="705"/>
      <c r="GF98" s="705"/>
      <c r="GG98" s="705"/>
      <c r="GH98" s="705"/>
      <c r="GI98" s="705"/>
      <c r="GJ98" s="705"/>
      <c r="GK98" s="705"/>
      <c r="GL98" s="705"/>
      <c r="GM98" s="705"/>
      <c r="GN98" s="705"/>
      <c r="GO98" s="705"/>
      <c r="GP98" s="705"/>
      <c r="GQ98" s="705"/>
      <c r="GR98" s="705"/>
      <c r="GS98" s="705"/>
      <c r="GT98" s="705"/>
      <c r="GU98" s="705"/>
      <c r="GV98" s="705"/>
      <c r="GW98" s="705"/>
      <c r="GX98" s="705"/>
      <c r="GY98" s="705"/>
      <c r="GZ98" s="705"/>
      <c r="HA98" s="705"/>
      <c r="HB98" s="705"/>
      <c r="HC98" s="705"/>
      <c r="HD98" s="705"/>
      <c r="HE98" s="705"/>
      <c r="HF98" s="705"/>
      <c r="HG98" s="705"/>
      <c r="HH98" s="705"/>
      <c r="HI98" s="705"/>
      <c r="HJ98" s="705"/>
      <c r="HK98" s="705"/>
      <c r="HL98" s="705"/>
      <c r="HM98" s="705"/>
      <c r="HN98" s="705"/>
      <c r="HO98" s="705"/>
      <c r="HP98" s="705"/>
      <c r="HQ98" s="705"/>
      <c r="HR98" s="705"/>
      <c r="HS98" s="705"/>
      <c r="HT98" s="705"/>
      <c r="HU98" s="705"/>
      <c r="HV98" s="705"/>
      <c r="HW98" s="705"/>
    </row>
    <row r="99" spans="1:231" ht="14.1" customHeight="1">
      <c r="A99" s="705"/>
      <c r="B99" s="732"/>
      <c r="C99" s="732"/>
      <c r="E99" s="753"/>
      <c r="F99" s="705"/>
      <c r="G99" s="705"/>
      <c r="H99" s="705"/>
      <c r="I99" s="705"/>
      <c r="K99" s="724"/>
      <c r="L99" s="704"/>
      <c r="M99" s="704"/>
      <c r="N99" s="704"/>
      <c r="O99" s="704"/>
      <c r="P99" s="704"/>
      <c r="Q99" s="704"/>
      <c r="R99" s="704"/>
      <c r="S99" s="704"/>
      <c r="T99" s="704"/>
      <c r="U99" s="704"/>
      <c r="V99" s="704"/>
      <c r="W99" s="704"/>
      <c r="X99" s="705"/>
      <c r="Y99" s="705"/>
      <c r="Z99" s="705"/>
      <c r="AA99" s="705"/>
      <c r="AB99" s="705"/>
      <c r="AC99" s="705"/>
      <c r="AD99" s="705"/>
      <c r="AE99" s="705"/>
      <c r="AF99" s="705"/>
      <c r="AG99" s="705"/>
      <c r="AH99" s="705"/>
      <c r="AI99" s="705"/>
      <c r="AJ99" s="705"/>
      <c r="AK99" s="705"/>
      <c r="AL99" s="705"/>
      <c r="AM99" s="705"/>
      <c r="AN99" s="705"/>
      <c r="AO99" s="705"/>
      <c r="AP99" s="705"/>
      <c r="AQ99" s="705"/>
      <c r="AR99" s="705"/>
      <c r="AS99" s="705"/>
      <c r="AT99" s="705"/>
      <c r="AU99" s="705"/>
      <c r="AV99" s="705"/>
      <c r="AW99" s="705"/>
      <c r="AX99" s="705"/>
      <c r="AY99" s="705"/>
      <c r="AZ99" s="705"/>
      <c r="BA99" s="705"/>
      <c r="BB99" s="705"/>
      <c r="BC99" s="705"/>
      <c r="BD99" s="705"/>
      <c r="BE99" s="705"/>
      <c r="BF99" s="705"/>
      <c r="BG99" s="705"/>
      <c r="BH99" s="705"/>
      <c r="BI99" s="705"/>
      <c r="BJ99" s="705"/>
      <c r="BK99" s="705"/>
      <c r="BL99" s="705"/>
      <c r="BM99" s="705"/>
      <c r="BN99" s="705"/>
      <c r="BO99" s="705"/>
      <c r="BP99" s="705"/>
      <c r="BQ99" s="705"/>
      <c r="BR99" s="705"/>
      <c r="BS99" s="705"/>
      <c r="BT99" s="705"/>
      <c r="BU99" s="705"/>
      <c r="BV99" s="705"/>
      <c r="BW99" s="705"/>
      <c r="BX99" s="705"/>
      <c r="BY99" s="705"/>
      <c r="BZ99" s="705"/>
      <c r="CA99" s="705"/>
      <c r="CB99" s="705"/>
      <c r="CC99" s="705"/>
      <c r="CD99" s="705"/>
      <c r="CE99" s="705"/>
      <c r="CF99" s="705"/>
      <c r="CG99" s="705"/>
      <c r="CH99" s="705"/>
      <c r="CI99" s="705"/>
      <c r="CJ99" s="705"/>
      <c r="CK99" s="705"/>
      <c r="CL99" s="705"/>
      <c r="CM99" s="705"/>
      <c r="CN99" s="705"/>
      <c r="CO99" s="705"/>
      <c r="CP99" s="705"/>
      <c r="CQ99" s="705"/>
      <c r="CR99" s="705"/>
      <c r="CS99" s="705"/>
      <c r="CT99" s="705"/>
      <c r="CU99" s="705"/>
      <c r="CV99" s="705"/>
      <c r="CW99" s="705"/>
      <c r="CX99" s="705"/>
      <c r="CY99" s="705"/>
      <c r="CZ99" s="705"/>
      <c r="DA99" s="705"/>
      <c r="DB99" s="705"/>
      <c r="DC99" s="705"/>
      <c r="DD99" s="705"/>
      <c r="DE99" s="705"/>
      <c r="DF99" s="705"/>
      <c r="DG99" s="705"/>
      <c r="DH99" s="705"/>
      <c r="DI99" s="705"/>
      <c r="DJ99" s="705"/>
      <c r="DK99" s="705"/>
      <c r="DL99" s="705"/>
      <c r="DM99" s="705"/>
      <c r="DN99" s="705"/>
      <c r="DO99" s="705"/>
      <c r="DP99" s="705"/>
      <c r="DQ99" s="705"/>
      <c r="DR99" s="705"/>
      <c r="DS99" s="705"/>
      <c r="DT99" s="705"/>
      <c r="DU99" s="705"/>
      <c r="DV99" s="705"/>
      <c r="DW99" s="705"/>
      <c r="DX99" s="705"/>
      <c r="DY99" s="705"/>
      <c r="DZ99" s="705"/>
      <c r="EA99" s="705"/>
      <c r="EB99" s="705"/>
      <c r="EC99" s="705"/>
      <c r="ED99" s="705"/>
      <c r="EE99" s="705"/>
      <c r="EF99" s="705"/>
      <c r="EG99" s="705"/>
      <c r="EH99" s="705"/>
      <c r="EI99" s="705"/>
      <c r="EJ99" s="705"/>
      <c r="EK99" s="705"/>
      <c r="EL99" s="705"/>
      <c r="EM99" s="705"/>
      <c r="EN99" s="705"/>
      <c r="EO99" s="705"/>
      <c r="EP99" s="705"/>
      <c r="EQ99" s="705"/>
      <c r="ER99" s="705"/>
      <c r="ES99" s="705"/>
      <c r="ET99" s="705"/>
      <c r="EU99" s="705"/>
      <c r="EV99" s="705"/>
      <c r="EW99" s="705"/>
      <c r="EX99" s="705"/>
      <c r="EY99" s="705"/>
      <c r="EZ99" s="705"/>
      <c r="FA99" s="705"/>
      <c r="FB99" s="705"/>
      <c r="FC99" s="705"/>
      <c r="FD99" s="705"/>
      <c r="FE99" s="705"/>
      <c r="FF99" s="705"/>
      <c r="FG99" s="705"/>
      <c r="FH99" s="705"/>
      <c r="FI99" s="705"/>
      <c r="FJ99" s="705"/>
      <c r="FK99" s="705"/>
      <c r="FL99" s="705"/>
      <c r="FM99" s="705"/>
      <c r="FN99" s="705"/>
      <c r="FO99" s="705"/>
      <c r="FP99" s="705"/>
      <c r="FQ99" s="705"/>
      <c r="FR99" s="705"/>
      <c r="FS99" s="705"/>
      <c r="FT99" s="705"/>
      <c r="FU99" s="705"/>
      <c r="FV99" s="705"/>
      <c r="FW99" s="705"/>
      <c r="FX99" s="705"/>
      <c r="FY99" s="705"/>
      <c r="FZ99" s="705"/>
      <c r="GA99" s="705"/>
      <c r="GB99" s="705"/>
      <c r="GC99" s="705"/>
      <c r="GD99" s="705"/>
      <c r="GE99" s="705"/>
      <c r="GF99" s="705"/>
      <c r="GG99" s="705"/>
      <c r="GH99" s="705"/>
      <c r="GI99" s="705"/>
      <c r="GJ99" s="705"/>
      <c r="GK99" s="705"/>
      <c r="GL99" s="705"/>
      <c r="GM99" s="705"/>
      <c r="GN99" s="705"/>
      <c r="GO99" s="705"/>
      <c r="GP99" s="705"/>
      <c r="GQ99" s="705"/>
      <c r="GR99" s="705"/>
      <c r="GS99" s="705"/>
      <c r="GT99" s="705"/>
      <c r="GU99" s="705"/>
      <c r="GV99" s="705"/>
      <c r="GW99" s="705"/>
      <c r="GX99" s="705"/>
      <c r="GY99" s="705"/>
      <c r="GZ99" s="705"/>
      <c r="HA99" s="705"/>
      <c r="HB99" s="705"/>
      <c r="HC99" s="705"/>
      <c r="HD99" s="705"/>
      <c r="HE99" s="705"/>
      <c r="HF99" s="705"/>
      <c r="HG99" s="705"/>
      <c r="HH99" s="705"/>
      <c r="HI99" s="705"/>
      <c r="HJ99" s="705"/>
      <c r="HK99" s="705"/>
      <c r="HL99" s="705"/>
      <c r="HM99" s="705"/>
      <c r="HN99" s="705"/>
      <c r="HO99" s="705"/>
      <c r="HP99" s="705"/>
      <c r="HQ99" s="705"/>
      <c r="HR99" s="705"/>
      <c r="HS99" s="705"/>
      <c r="HT99" s="705"/>
      <c r="HU99" s="705"/>
      <c r="HV99" s="705"/>
      <c r="HW99" s="705"/>
    </row>
    <row r="100" spans="1:231" ht="14.1" customHeight="1">
      <c r="A100" s="705"/>
      <c r="B100" s="732"/>
      <c r="C100" s="732"/>
      <c r="E100" s="753"/>
      <c r="F100" s="705"/>
      <c r="G100" s="705"/>
      <c r="H100" s="705"/>
      <c r="I100" s="705"/>
      <c r="K100" s="724"/>
      <c r="L100" s="704"/>
      <c r="M100" s="704"/>
      <c r="N100" s="704"/>
      <c r="O100" s="704"/>
      <c r="P100" s="704"/>
      <c r="Q100" s="704"/>
      <c r="R100" s="704"/>
      <c r="S100" s="704"/>
      <c r="T100" s="704"/>
      <c r="U100" s="704"/>
      <c r="V100" s="704"/>
      <c r="W100" s="704"/>
      <c r="X100" s="705"/>
      <c r="Y100" s="705"/>
      <c r="Z100" s="705"/>
      <c r="AA100" s="705"/>
      <c r="AB100" s="705"/>
      <c r="AC100" s="705"/>
      <c r="AD100" s="705"/>
      <c r="AE100" s="705"/>
      <c r="AF100" s="705"/>
      <c r="AG100" s="705"/>
      <c r="AH100" s="705"/>
      <c r="AI100" s="705"/>
      <c r="AJ100" s="705"/>
      <c r="AK100" s="705"/>
      <c r="AL100" s="705"/>
      <c r="AM100" s="705"/>
      <c r="AN100" s="705"/>
      <c r="AO100" s="705"/>
      <c r="AP100" s="705"/>
      <c r="AQ100" s="705"/>
      <c r="AR100" s="705"/>
      <c r="AS100" s="705"/>
      <c r="AT100" s="705"/>
      <c r="AU100" s="705"/>
      <c r="AV100" s="705"/>
      <c r="AW100" s="705"/>
      <c r="AX100" s="705"/>
      <c r="AY100" s="705"/>
      <c r="AZ100" s="705"/>
      <c r="BA100" s="705"/>
      <c r="BB100" s="705"/>
      <c r="BC100" s="705"/>
      <c r="BD100" s="705"/>
      <c r="BE100" s="705"/>
      <c r="BF100" s="705"/>
      <c r="BG100" s="705"/>
      <c r="BH100" s="705"/>
      <c r="BI100" s="705"/>
      <c r="BJ100" s="705"/>
      <c r="BK100" s="705"/>
      <c r="BL100" s="705"/>
      <c r="BM100" s="705"/>
      <c r="BN100" s="705"/>
      <c r="BO100" s="705"/>
      <c r="BP100" s="705"/>
      <c r="BQ100" s="705"/>
      <c r="BR100" s="705"/>
      <c r="BS100" s="705"/>
      <c r="BT100" s="705"/>
      <c r="BU100" s="705"/>
      <c r="BV100" s="705"/>
      <c r="BW100" s="705"/>
      <c r="BX100" s="705"/>
      <c r="BY100" s="705"/>
      <c r="BZ100" s="705"/>
      <c r="CA100" s="705"/>
      <c r="CB100" s="705"/>
      <c r="CC100" s="705"/>
      <c r="CD100" s="705"/>
      <c r="CE100" s="705"/>
      <c r="CF100" s="705"/>
      <c r="CG100" s="705"/>
      <c r="CH100" s="705"/>
      <c r="CI100" s="705"/>
      <c r="CJ100" s="705"/>
      <c r="CK100" s="705"/>
      <c r="CL100" s="705"/>
      <c r="CM100" s="705"/>
      <c r="CN100" s="705"/>
      <c r="CO100" s="705"/>
      <c r="CP100" s="705"/>
      <c r="CQ100" s="705"/>
      <c r="CR100" s="705"/>
      <c r="CS100" s="705"/>
      <c r="CT100" s="705"/>
      <c r="CU100" s="705"/>
      <c r="CV100" s="705"/>
      <c r="CW100" s="705"/>
      <c r="CX100" s="705"/>
      <c r="CY100" s="705"/>
      <c r="CZ100" s="705"/>
      <c r="DA100" s="705"/>
      <c r="DB100" s="705"/>
      <c r="DC100" s="705"/>
      <c r="DD100" s="705"/>
      <c r="DE100" s="705"/>
      <c r="DF100" s="705"/>
      <c r="DG100" s="705"/>
      <c r="DH100" s="705"/>
      <c r="DI100" s="705"/>
      <c r="DJ100" s="705"/>
      <c r="DK100" s="705"/>
      <c r="DL100" s="705"/>
      <c r="DM100" s="705"/>
      <c r="DN100" s="705"/>
      <c r="DO100" s="705"/>
      <c r="DP100" s="705"/>
      <c r="DQ100" s="705"/>
      <c r="DR100" s="705"/>
      <c r="DS100" s="705"/>
      <c r="DT100" s="705"/>
      <c r="DU100" s="705"/>
      <c r="DV100" s="705"/>
      <c r="DW100" s="705"/>
      <c r="DX100" s="705"/>
      <c r="DY100" s="705"/>
      <c r="DZ100" s="705"/>
      <c r="EA100" s="705"/>
      <c r="EB100" s="705"/>
      <c r="EC100" s="705"/>
      <c r="ED100" s="705"/>
      <c r="EE100" s="705"/>
      <c r="EF100" s="705"/>
      <c r="EG100" s="705"/>
      <c r="EH100" s="705"/>
      <c r="EI100" s="705"/>
      <c r="EJ100" s="705"/>
      <c r="EK100" s="705"/>
      <c r="EL100" s="705"/>
      <c r="EM100" s="705"/>
      <c r="EN100" s="705"/>
      <c r="EO100" s="705"/>
      <c r="EP100" s="705"/>
      <c r="EQ100" s="705"/>
      <c r="ER100" s="705"/>
      <c r="ES100" s="705"/>
      <c r="ET100" s="705"/>
      <c r="EU100" s="705"/>
      <c r="EV100" s="705"/>
      <c r="EW100" s="705"/>
      <c r="EX100" s="705"/>
      <c r="EY100" s="705"/>
      <c r="EZ100" s="705"/>
      <c r="FA100" s="705"/>
      <c r="FB100" s="705"/>
      <c r="FC100" s="705"/>
      <c r="FD100" s="705"/>
      <c r="FE100" s="705"/>
      <c r="FF100" s="705"/>
      <c r="FG100" s="705"/>
      <c r="FH100" s="705"/>
      <c r="FI100" s="705"/>
      <c r="FJ100" s="705"/>
      <c r="FK100" s="705"/>
      <c r="FL100" s="705"/>
      <c r="FM100" s="705"/>
      <c r="FN100" s="705"/>
      <c r="FO100" s="705"/>
      <c r="FP100" s="705"/>
      <c r="FQ100" s="705"/>
      <c r="FR100" s="705"/>
      <c r="FS100" s="705"/>
      <c r="FT100" s="705"/>
      <c r="FU100" s="705"/>
      <c r="FV100" s="705"/>
      <c r="FW100" s="705"/>
      <c r="FX100" s="705"/>
      <c r="FY100" s="705"/>
      <c r="FZ100" s="705"/>
      <c r="GA100" s="705"/>
      <c r="GB100" s="705"/>
      <c r="GC100" s="705"/>
      <c r="GD100" s="705"/>
      <c r="GE100" s="705"/>
      <c r="GF100" s="705"/>
      <c r="GG100" s="705"/>
      <c r="GH100" s="705"/>
      <c r="GI100" s="705"/>
      <c r="GJ100" s="705"/>
      <c r="GK100" s="705"/>
      <c r="GL100" s="705"/>
      <c r="GM100" s="705"/>
      <c r="GN100" s="705"/>
      <c r="GO100" s="705"/>
      <c r="GP100" s="705"/>
      <c r="GQ100" s="705"/>
      <c r="GR100" s="705"/>
      <c r="GS100" s="705"/>
      <c r="GT100" s="705"/>
      <c r="GU100" s="705"/>
      <c r="GV100" s="705"/>
      <c r="GW100" s="705"/>
      <c r="GX100" s="705"/>
      <c r="GY100" s="705"/>
      <c r="GZ100" s="705"/>
      <c r="HA100" s="705"/>
      <c r="HB100" s="705"/>
      <c r="HC100" s="705"/>
      <c r="HD100" s="705"/>
      <c r="HE100" s="705"/>
      <c r="HF100" s="705"/>
      <c r="HG100" s="705"/>
      <c r="HH100" s="705"/>
      <c r="HI100" s="705"/>
      <c r="HJ100" s="705"/>
      <c r="HK100" s="705"/>
      <c r="HL100" s="705"/>
      <c r="HM100" s="705"/>
      <c r="HN100" s="705"/>
      <c r="HO100" s="705"/>
      <c r="HP100" s="705"/>
      <c r="HQ100" s="705"/>
      <c r="HR100" s="705"/>
      <c r="HS100" s="705"/>
      <c r="HT100" s="705"/>
      <c r="HU100" s="705"/>
      <c r="HV100" s="705"/>
      <c r="HW100" s="705"/>
    </row>
    <row r="101" spans="1:231" ht="14.1" customHeight="1">
      <c r="A101" s="705"/>
      <c r="B101" s="732"/>
      <c r="C101" s="732"/>
      <c r="E101" s="753"/>
      <c r="F101" s="705"/>
      <c r="G101" s="705"/>
      <c r="H101" s="705"/>
      <c r="I101" s="705"/>
      <c r="K101" s="724"/>
      <c r="L101" s="704"/>
      <c r="M101" s="704"/>
      <c r="N101" s="704"/>
      <c r="O101" s="704"/>
      <c r="P101" s="704"/>
      <c r="Q101" s="704"/>
      <c r="R101" s="704"/>
      <c r="S101" s="704"/>
      <c r="T101" s="704"/>
      <c r="U101" s="704"/>
      <c r="V101" s="704"/>
      <c r="W101" s="704"/>
      <c r="X101" s="705"/>
      <c r="Y101" s="705"/>
      <c r="Z101" s="705"/>
      <c r="AA101" s="705"/>
      <c r="AB101" s="705"/>
      <c r="AC101" s="705"/>
      <c r="AD101" s="705"/>
      <c r="AE101" s="705"/>
      <c r="AF101" s="705"/>
      <c r="AG101" s="705"/>
      <c r="AH101" s="705"/>
      <c r="AI101" s="705"/>
      <c r="AJ101" s="705"/>
      <c r="AK101" s="705"/>
      <c r="AL101" s="705"/>
      <c r="AM101" s="705"/>
      <c r="AN101" s="705"/>
      <c r="AO101" s="705"/>
      <c r="AP101" s="705"/>
      <c r="AQ101" s="705"/>
      <c r="AR101" s="705"/>
      <c r="AS101" s="705"/>
      <c r="AT101" s="705"/>
      <c r="AU101" s="705"/>
      <c r="AV101" s="705"/>
      <c r="AW101" s="705"/>
      <c r="AX101" s="705"/>
      <c r="AY101" s="705"/>
      <c r="AZ101" s="705"/>
      <c r="BA101" s="705"/>
      <c r="BB101" s="705"/>
      <c r="BC101" s="705"/>
      <c r="BD101" s="705"/>
      <c r="BE101" s="705"/>
      <c r="BF101" s="705"/>
      <c r="BG101" s="705"/>
      <c r="BH101" s="705"/>
      <c r="BI101" s="705"/>
      <c r="BJ101" s="705"/>
      <c r="BK101" s="705"/>
      <c r="BL101" s="705"/>
      <c r="BM101" s="705"/>
      <c r="BN101" s="705"/>
      <c r="BO101" s="705"/>
      <c r="BP101" s="705"/>
      <c r="BQ101" s="705"/>
      <c r="BR101" s="705"/>
      <c r="BS101" s="705"/>
      <c r="BT101" s="705"/>
      <c r="BU101" s="705"/>
      <c r="BV101" s="705"/>
      <c r="BW101" s="705"/>
      <c r="BX101" s="705"/>
      <c r="BY101" s="705"/>
      <c r="BZ101" s="705"/>
      <c r="CA101" s="705"/>
      <c r="CB101" s="705"/>
      <c r="CC101" s="705"/>
      <c r="CD101" s="705"/>
      <c r="CE101" s="705"/>
      <c r="CF101" s="705"/>
      <c r="CG101" s="705"/>
      <c r="CH101" s="705"/>
      <c r="CI101" s="705"/>
      <c r="CJ101" s="705"/>
      <c r="CK101" s="705"/>
      <c r="CL101" s="705"/>
      <c r="CM101" s="705"/>
      <c r="CN101" s="705"/>
      <c r="CO101" s="705"/>
      <c r="CP101" s="705"/>
      <c r="CQ101" s="705"/>
      <c r="CR101" s="705"/>
      <c r="CS101" s="705"/>
      <c r="CT101" s="705"/>
      <c r="CU101" s="705"/>
      <c r="CV101" s="705"/>
      <c r="CW101" s="705"/>
      <c r="CX101" s="705"/>
      <c r="CY101" s="705"/>
      <c r="CZ101" s="705"/>
      <c r="DA101" s="705"/>
      <c r="DB101" s="705"/>
      <c r="DC101" s="705"/>
      <c r="DD101" s="705"/>
      <c r="DE101" s="705"/>
      <c r="DF101" s="705"/>
      <c r="DG101" s="705"/>
      <c r="DH101" s="705"/>
      <c r="DI101" s="705"/>
      <c r="DJ101" s="705"/>
      <c r="DK101" s="705"/>
      <c r="DL101" s="705"/>
      <c r="DM101" s="705"/>
      <c r="DN101" s="705"/>
      <c r="DO101" s="705"/>
      <c r="DP101" s="705"/>
      <c r="DQ101" s="705"/>
      <c r="DR101" s="705"/>
      <c r="DS101" s="705"/>
      <c r="DT101" s="705"/>
      <c r="DU101" s="705"/>
      <c r="DV101" s="705"/>
      <c r="DW101" s="705"/>
      <c r="DX101" s="705"/>
      <c r="DY101" s="705"/>
      <c r="DZ101" s="705"/>
      <c r="EA101" s="705"/>
      <c r="EB101" s="705"/>
      <c r="EC101" s="705"/>
      <c r="ED101" s="705"/>
      <c r="EE101" s="705"/>
      <c r="EF101" s="705"/>
      <c r="EG101" s="705"/>
      <c r="EH101" s="705"/>
      <c r="EI101" s="705"/>
      <c r="EJ101" s="705"/>
      <c r="EK101" s="705"/>
      <c r="EL101" s="705"/>
      <c r="EM101" s="705"/>
      <c r="EN101" s="705"/>
      <c r="EO101" s="705"/>
      <c r="EP101" s="705"/>
      <c r="EQ101" s="705"/>
      <c r="ER101" s="705"/>
      <c r="ES101" s="705"/>
      <c r="ET101" s="705"/>
      <c r="EU101" s="705"/>
      <c r="EV101" s="705"/>
      <c r="EW101" s="705"/>
      <c r="EX101" s="705"/>
      <c r="EY101" s="705"/>
      <c r="EZ101" s="705"/>
      <c r="FA101" s="705"/>
      <c r="FB101" s="705"/>
      <c r="FC101" s="705"/>
      <c r="FD101" s="705"/>
      <c r="FE101" s="705"/>
      <c r="FF101" s="705"/>
      <c r="FG101" s="705"/>
      <c r="FH101" s="705"/>
      <c r="FI101" s="705"/>
      <c r="FJ101" s="705"/>
      <c r="FK101" s="705"/>
      <c r="FL101" s="705"/>
      <c r="FM101" s="705"/>
      <c r="FN101" s="705"/>
      <c r="FO101" s="705"/>
      <c r="FP101" s="705"/>
      <c r="FQ101" s="705"/>
      <c r="FR101" s="705"/>
      <c r="FS101" s="705"/>
      <c r="FT101" s="705"/>
      <c r="FU101" s="705"/>
      <c r="FV101" s="705"/>
      <c r="FW101" s="705"/>
      <c r="FX101" s="705"/>
      <c r="FY101" s="705"/>
      <c r="FZ101" s="705"/>
      <c r="GA101" s="705"/>
      <c r="GB101" s="705"/>
      <c r="GC101" s="705"/>
      <c r="GD101" s="705"/>
      <c r="GE101" s="705"/>
      <c r="GF101" s="705"/>
      <c r="GG101" s="705"/>
      <c r="GH101" s="705"/>
      <c r="GI101" s="705"/>
      <c r="GJ101" s="705"/>
      <c r="GK101" s="705"/>
      <c r="GL101" s="705"/>
      <c r="GM101" s="705"/>
      <c r="GN101" s="705"/>
      <c r="GO101" s="705"/>
      <c r="GP101" s="705"/>
      <c r="GQ101" s="705"/>
      <c r="GR101" s="705"/>
      <c r="GS101" s="705"/>
      <c r="GT101" s="705"/>
      <c r="GU101" s="705"/>
      <c r="GV101" s="705"/>
      <c r="GW101" s="705"/>
      <c r="GX101" s="705"/>
      <c r="GY101" s="705"/>
      <c r="GZ101" s="705"/>
      <c r="HA101" s="705"/>
      <c r="HB101" s="705"/>
      <c r="HC101" s="705"/>
      <c r="HD101" s="705"/>
      <c r="HE101" s="705"/>
      <c r="HF101" s="705"/>
      <c r="HG101" s="705"/>
      <c r="HH101" s="705"/>
      <c r="HI101" s="705"/>
      <c r="HJ101" s="705"/>
      <c r="HK101" s="705"/>
      <c r="HL101" s="705"/>
      <c r="HM101" s="705"/>
      <c r="HN101" s="705"/>
      <c r="HO101" s="705"/>
      <c r="HP101" s="705"/>
      <c r="HQ101" s="705"/>
      <c r="HR101" s="705"/>
      <c r="HS101" s="705"/>
      <c r="HT101" s="705"/>
      <c r="HU101" s="705"/>
      <c r="HV101" s="705"/>
      <c r="HW101" s="705"/>
    </row>
    <row r="102" spans="1:231" ht="14.1" customHeight="1">
      <c r="A102" s="705"/>
      <c r="B102" s="732"/>
      <c r="C102" s="732"/>
      <c r="E102" s="753"/>
      <c r="F102" s="705"/>
      <c r="G102" s="705"/>
      <c r="H102" s="705"/>
      <c r="I102" s="705"/>
      <c r="K102" s="724"/>
      <c r="L102" s="704"/>
      <c r="M102" s="704"/>
      <c r="N102" s="704"/>
      <c r="O102" s="704"/>
      <c r="P102" s="704"/>
      <c r="Q102" s="704"/>
      <c r="R102" s="704"/>
      <c r="S102" s="704"/>
      <c r="T102" s="704"/>
      <c r="U102" s="704"/>
      <c r="V102" s="704"/>
      <c r="W102" s="704"/>
      <c r="X102" s="705"/>
      <c r="Y102" s="705"/>
      <c r="Z102" s="705"/>
      <c r="AA102" s="705"/>
      <c r="AB102" s="705"/>
      <c r="AC102" s="705"/>
      <c r="AD102" s="705"/>
      <c r="AE102" s="705"/>
      <c r="AF102" s="705"/>
      <c r="AG102" s="705"/>
      <c r="AH102" s="705"/>
      <c r="AI102" s="705"/>
      <c r="AJ102" s="705"/>
      <c r="AK102" s="705"/>
      <c r="AL102" s="705"/>
      <c r="AM102" s="705"/>
      <c r="AN102" s="705"/>
      <c r="AO102" s="705"/>
      <c r="AP102" s="705"/>
      <c r="AQ102" s="705"/>
      <c r="AR102" s="705"/>
      <c r="AS102" s="705"/>
      <c r="AT102" s="705"/>
      <c r="AU102" s="705"/>
      <c r="AV102" s="705"/>
      <c r="AW102" s="705"/>
      <c r="AX102" s="705"/>
      <c r="AY102" s="705"/>
      <c r="AZ102" s="705"/>
      <c r="BA102" s="705"/>
      <c r="BB102" s="705"/>
      <c r="BC102" s="705"/>
      <c r="BD102" s="705"/>
      <c r="BE102" s="705"/>
      <c r="BF102" s="705"/>
      <c r="BG102" s="705"/>
      <c r="BH102" s="705"/>
      <c r="BI102" s="705"/>
      <c r="BJ102" s="705"/>
      <c r="BK102" s="705"/>
      <c r="BL102" s="705"/>
      <c r="BM102" s="705"/>
      <c r="BN102" s="705"/>
      <c r="BO102" s="705"/>
      <c r="BP102" s="705"/>
      <c r="BQ102" s="705"/>
      <c r="BR102" s="705"/>
      <c r="BS102" s="705"/>
      <c r="BT102" s="705"/>
      <c r="BU102" s="705"/>
      <c r="BV102" s="705"/>
      <c r="BW102" s="705"/>
      <c r="BX102" s="705"/>
      <c r="BY102" s="705"/>
      <c r="BZ102" s="705"/>
      <c r="CA102" s="705"/>
      <c r="CB102" s="705"/>
      <c r="CC102" s="705"/>
      <c r="CD102" s="705"/>
      <c r="CE102" s="705"/>
      <c r="CF102" s="705"/>
      <c r="CG102" s="705"/>
      <c r="CH102" s="705"/>
      <c r="CI102" s="705"/>
      <c r="CJ102" s="705"/>
      <c r="CK102" s="705"/>
      <c r="CL102" s="705"/>
      <c r="CM102" s="705"/>
      <c r="CN102" s="705"/>
      <c r="CO102" s="705"/>
      <c r="CP102" s="705"/>
      <c r="CQ102" s="705"/>
      <c r="CR102" s="705"/>
      <c r="CS102" s="705"/>
      <c r="CT102" s="705"/>
      <c r="CU102" s="705"/>
      <c r="CV102" s="705"/>
      <c r="CW102" s="705"/>
      <c r="CX102" s="705"/>
      <c r="CY102" s="705"/>
      <c r="CZ102" s="705"/>
      <c r="DA102" s="705"/>
      <c r="DB102" s="705"/>
      <c r="DC102" s="705"/>
      <c r="DD102" s="705"/>
      <c r="DE102" s="705"/>
      <c r="DF102" s="705"/>
      <c r="DG102" s="705"/>
      <c r="DH102" s="705"/>
      <c r="DI102" s="705"/>
      <c r="DJ102" s="705"/>
      <c r="DK102" s="705"/>
      <c r="DL102" s="705"/>
      <c r="DM102" s="705"/>
      <c r="DN102" s="705"/>
      <c r="DO102" s="705"/>
      <c r="DP102" s="705"/>
      <c r="DQ102" s="705"/>
      <c r="DR102" s="705"/>
      <c r="DS102" s="705"/>
      <c r="DT102" s="705"/>
      <c r="DU102" s="705"/>
      <c r="DV102" s="705"/>
      <c r="DW102" s="705"/>
      <c r="DX102" s="705"/>
      <c r="DY102" s="705"/>
      <c r="DZ102" s="705"/>
      <c r="EA102" s="705"/>
      <c r="EB102" s="705"/>
      <c r="EC102" s="705"/>
      <c r="ED102" s="705"/>
      <c r="EE102" s="705"/>
      <c r="EF102" s="705"/>
      <c r="EG102" s="705"/>
      <c r="EH102" s="705"/>
      <c r="EI102" s="705"/>
      <c r="EJ102" s="705"/>
      <c r="EK102" s="705"/>
      <c r="EL102" s="705"/>
      <c r="EM102" s="705"/>
      <c r="EN102" s="705"/>
      <c r="EO102" s="705"/>
      <c r="EP102" s="705"/>
      <c r="EQ102" s="705"/>
      <c r="ER102" s="705"/>
      <c r="ES102" s="705"/>
      <c r="ET102" s="705"/>
      <c r="EU102" s="705"/>
      <c r="EV102" s="705"/>
      <c r="EW102" s="705"/>
      <c r="EX102" s="705"/>
      <c r="EY102" s="705"/>
      <c r="EZ102" s="705"/>
      <c r="FA102" s="705"/>
      <c r="FB102" s="705"/>
      <c r="FC102" s="705"/>
      <c r="FD102" s="705"/>
      <c r="FE102" s="705"/>
      <c r="FF102" s="705"/>
      <c r="FG102" s="705"/>
      <c r="FH102" s="705"/>
      <c r="FI102" s="705"/>
      <c r="FJ102" s="705"/>
      <c r="FK102" s="705"/>
      <c r="FL102" s="705"/>
      <c r="FM102" s="705"/>
      <c r="FN102" s="705"/>
      <c r="FO102" s="705"/>
      <c r="FP102" s="705"/>
      <c r="FQ102" s="705"/>
      <c r="FR102" s="705"/>
      <c r="FS102" s="705"/>
      <c r="FT102" s="705"/>
      <c r="FU102" s="705"/>
      <c r="FV102" s="705"/>
      <c r="FW102" s="705"/>
      <c r="FX102" s="705"/>
      <c r="FY102" s="705"/>
      <c r="FZ102" s="705"/>
      <c r="GA102" s="705"/>
      <c r="GB102" s="705"/>
      <c r="GC102" s="705"/>
      <c r="GD102" s="705"/>
      <c r="GE102" s="705"/>
      <c r="GF102" s="705"/>
      <c r="GG102" s="705"/>
      <c r="GH102" s="705"/>
      <c r="GI102" s="705"/>
      <c r="GJ102" s="705"/>
      <c r="GK102" s="705"/>
      <c r="GL102" s="705"/>
      <c r="GM102" s="705"/>
      <c r="GN102" s="705"/>
      <c r="GO102" s="705"/>
      <c r="GP102" s="705"/>
      <c r="GQ102" s="705"/>
      <c r="GR102" s="705"/>
      <c r="GS102" s="705"/>
      <c r="GT102" s="705"/>
      <c r="GU102" s="705"/>
      <c r="GV102" s="705"/>
      <c r="GW102" s="705"/>
      <c r="GX102" s="705"/>
      <c r="GY102" s="705"/>
      <c r="GZ102" s="705"/>
      <c r="HA102" s="705"/>
      <c r="HB102" s="705"/>
      <c r="HC102" s="705"/>
      <c r="HD102" s="705"/>
      <c r="HE102" s="705"/>
      <c r="HF102" s="705"/>
      <c r="HG102" s="705"/>
      <c r="HH102" s="705"/>
      <c r="HI102" s="705"/>
      <c r="HJ102" s="705"/>
      <c r="HK102" s="705"/>
      <c r="HL102" s="705"/>
      <c r="HM102" s="705"/>
      <c r="HN102" s="705"/>
      <c r="HO102" s="705"/>
      <c r="HP102" s="705"/>
      <c r="HQ102" s="705"/>
      <c r="HR102" s="705"/>
      <c r="HS102" s="705"/>
      <c r="HT102" s="705"/>
      <c r="HU102" s="705"/>
      <c r="HV102" s="705"/>
      <c r="HW102" s="705"/>
    </row>
    <row r="103" spans="1:231" ht="14.1" customHeight="1">
      <c r="A103" s="705"/>
      <c r="B103" s="732"/>
      <c r="C103" s="732"/>
      <c r="E103" s="753"/>
      <c r="F103" s="705"/>
      <c r="G103" s="705"/>
      <c r="H103" s="705"/>
      <c r="I103" s="705"/>
      <c r="K103" s="724"/>
      <c r="L103" s="704"/>
      <c r="M103" s="704"/>
      <c r="N103" s="704"/>
      <c r="O103" s="704"/>
      <c r="P103" s="704"/>
      <c r="Q103" s="704"/>
      <c r="R103" s="704"/>
      <c r="S103" s="704"/>
      <c r="T103" s="704"/>
      <c r="U103" s="704"/>
      <c r="V103" s="704"/>
      <c r="W103" s="704"/>
      <c r="X103" s="705"/>
      <c r="Y103" s="705"/>
      <c r="Z103" s="705"/>
      <c r="AA103" s="705"/>
      <c r="AB103" s="705"/>
      <c r="AC103" s="705"/>
      <c r="AD103" s="705"/>
      <c r="AE103" s="705"/>
      <c r="AF103" s="705"/>
      <c r="AG103" s="705"/>
      <c r="AH103" s="705"/>
      <c r="AI103" s="705"/>
      <c r="AJ103" s="705"/>
      <c r="AK103" s="705"/>
      <c r="AL103" s="705"/>
      <c r="AM103" s="705"/>
      <c r="AN103" s="705"/>
      <c r="AO103" s="705"/>
      <c r="AP103" s="705"/>
      <c r="AQ103" s="705"/>
      <c r="AR103" s="705"/>
      <c r="AS103" s="705"/>
      <c r="AT103" s="705"/>
      <c r="AU103" s="705"/>
      <c r="AV103" s="705"/>
      <c r="AW103" s="705"/>
      <c r="AX103" s="705"/>
      <c r="AY103" s="705"/>
      <c r="AZ103" s="705"/>
      <c r="BA103" s="705"/>
      <c r="BB103" s="705"/>
      <c r="BC103" s="705"/>
      <c r="BD103" s="705"/>
      <c r="BE103" s="705"/>
      <c r="BF103" s="705"/>
      <c r="BG103" s="705"/>
      <c r="BH103" s="705"/>
      <c r="BI103" s="705"/>
      <c r="BJ103" s="705"/>
      <c r="BK103" s="705"/>
      <c r="BL103" s="705"/>
      <c r="BM103" s="705"/>
      <c r="BN103" s="705"/>
      <c r="BO103" s="705"/>
      <c r="BP103" s="705"/>
      <c r="BQ103" s="705"/>
      <c r="BR103" s="705"/>
      <c r="BS103" s="705"/>
      <c r="BT103" s="705"/>
      <c r="BU103" s="705"/>
      <c r="BV103" s="705"/>
      <c r="BW103" s="705"/>
      <c r="BX103" s="705"/>
      <c r="BY103" s="705"/>
      <c r="BZ103" s="705"/>
      <c r="CA103" s="705"/>
      <c r="CB103" s="705"/>
      <c r="CC103" s="705"/>
      <c r="CD103" s="705"/>
      <c r="CE103" s="705"/>
      <c r="CF103" s="705"/>
      <c r="CG103" s="705"/>
      <c r="CH103" s="705"/>
      <c r="CI103" s="705"/>
      <c r="CJ103" s="705"/>
      <c r="CK103" s="705"/>
      <c r="CL103" s="705"/>
      <c r="CM103" s="705"/>
      <c r="CN103" s="705"/>
      <c r="CO103" s="705"/>
      <c r="CP103" s="705"/>
      <c r="CQ103" s="705"/>
      <c r="CR103" s="705"/>
      <c r="CS103" s="705"/>
      <c r="CT103" s="705"/>
      <c r="CU103" s="705"/>
      <c r="CV103" s="705"/>
      <c r="CW103" s="705"/>
      <c r="CX103" s="705"/>
      <c r="CY103" s="705"/>
      <c r="CZ103" s="705"/>
      <c r="DA103" s="705"/>
      <c r="DB103" s="705"/>
      <c r="DC103" s="705"/>
      <c r="DD103" s="705"/>
      <c r="DE103" s="705"/>
      <c r="DF103" s="705"/>
      <c r="DG103" s="705"/>
      <c r="DH103" s="705"/>
      <c r="DI103" s="705"/>
      <c r="DJ103" s="705"/>
      <c r="DK103" s="705"/>
      <c r="DL103" s="705"/>
      <c r="DM103" s="705"/>
      <c r="DN103" s="705"/>
      <c r="DO103" s="705"/>
      <c r="DP103" s="705"/>
      <c r="DQ103" s="705"/>
      <c r="DR103" s="705"/>
      <c r="DS103" s="705"/>
      <c r="DT103" s="705"/>
      <c r="DU103" s="705"/>
      <c r="DV103" s="705"/>
      <c r="DW103" s="705"/>
      <c r="DX103" s="705"/>
      <c r="DY103" s="705"/>
      <c r="DZ103" s="705"/>
      <c r="EA103" s="705"/>
      <c r="EB103" s="705"/>
      <c r="EC103" s="705"/>
      <c r="ED103" s="705"/>
      <c r="EE103" s="705"/>
      <c r="EF103" s="705"/>
      <c r="EG103" s="705"/>
      <c r="EH103" s="705"/>
      <c r="EI103" s="705"/>
      <c r="EJ103" s="705"/>
      <c r="EK103" s="705"/>
      <c r="EL103" s="705"/>
      <c r="EM103" s="705"/>
      <c r="EN103" s="705"/>
      <c r="EO103" s="705"/>
      <c r="EP103" s="705"/>
      <c r="EQ103" s="705"/>
      <c r="ER103" s="705"/>
      <c r="ES103" s="705"/>
      <c r="ET103" s="705"/>
      <c r="EU103" s="705"/>
      <c r="EV103" s="705"/>
      <c r="EW103" s="705"/>
      <c r="EX103" s="705"/>
      <c r="EY103" s="705"/>
      <c r="EZ103" s="705"/>
      <c r="FA103" s="705"/>
      <c r="FB103" s="705"/>
      <c r="FC103" s="705"/>
      <c r="FD103" s="705"/>
      <c r="FE103" s="705"/>
      <c r="FF103" s="705"/>
      <c r="FG103" s="705"/>
      <c r="FH103" s="705"/>
      <c r="FI103" s="705"/>
      <c r="FJ103" s="705"/>
      <c r="FK103" s="705"/>
      <c r="FL103" s="705"/>
      <c r="FM103" s="705"/>
      <c r="FN103" s="705"/>
      <c r="FO103" s="705"/>
      <c r="FP103" s="705"/>
      <c r="FQ103" s="705"/>
      <c r="FR103" s="705"/>
      <c r="FS103" s="705"/>
      <c r="FT103" s="705"/>
      <c r="FU103" s="705"/>
      <c r="FV103" s="705"/>
      <c r="FW103" s="705"/>
      <c r="FX103" s="705"/>
      <c r="FY103" s="705"/>
      <c r="FZ103" s="705"/>
      <c r="GA103" s="705"/>
      <c r="GB103" s="705"/>
      <c r="GC103" s="705"/>
      <c r="GD103" s="705"/>
      <c r="GE103" s="705"/>
      <c r="GF103" s="705"/>
      <c r="GG103" s="705"/>
      <c r="GH103" s="705"/>
      <c r="GI103" s="705"/>
      <c r="GJ103" s="705"/>
      <c r="GK103" s="705"/>
      <c r="GL103" s="705"/>
      <c r="GM103" s="705"/>
      <c r="GN103" s="705"/>
      <c r="GO103" s="705"/>
      <c r="GP103" s="705"/>
      <c r="GQ103" s="705"/>
      <c r="GR103" s="705"/>
      <c r="GS103" s="705"/>
      <c r="GT103" s="705"/>
      <c r="GU103" s="705"/>
      <c r="GV103" s="705"/>
      <c r="GW103" s="705"/>
      <c r="GX103" s="705"/>
      <c r="GY103" s="705"/>
      <c r="GZ103" s="705"/>
      <c r="HA103" s="705"/>
      <c r="HB103" s="705"/>
      <c r="HC103" s="705"/>
      <c r="HD103" s="705"/>
      <c r="HE103" s="705"/>
      <c r="HF103" s="705"/>
      <c r="HG103" s="705"/>
      <c r="HH103" s="705"/>
      <c r="HI103" s="705"/>
      <c r="HJ103" s="705"/>
      <c r="HK103" s="705"/>
      <c r="HL103" s="705"/>
      <c r="HM103" s="705"/>
      <c r="HN103" s="705"/>
      <c r="HO103" s="705"/>
      <c r="HP103" s="705"/>
      <c r="HQ103" s="705"/>
      <c r="HR103" s="705"/>
      <c r="HS103" s="705"/>
      <c r="HT103" s="705"/>
      <c r="HU103" s="705"/>
      <c r="HV103" s="705"/>
      <c r="HW103" s="705"/>
    </row>
    <row r="104" spans="1:231" ht="14.1" customHeight="1">
      <c r="A104" s="705"/>
      <c r="B104" s="732"/>
      <c r="C104" s="732"/>
      <c r="E104" s="753"/>
      <c r="F104" s="705"/>
      <c r="G104" s="705"/>
      <c r="H104" s="705"/>
      <c r="I104" s="705"/>
      <c r="K104" s="724"/>
      <c r="L104" s="704"/>
      <c r="M104" s="704"/>
      <c r="N104" s="704"/>
      <c r="O104" s="704"/>
      <c r="P104" s="704"/>
      <c r="Q104" s="704"/>
      <c r="R104" s="704"/>
      <c r="S104" s="704"/>
      <c r="T104" s="704"/>
      <c r="U104" s="704"/>
      <c r="V104" s="704"/>
      <c r="W104" s="704"/>
      <c r="X104" s="705"/>
      <c r="Y104" s="705"/>
      <c r="Z104" s="705"/>
      <c r="AA104" s="705"/>
      <c r="AB104" s="705"/>
      <c r="AC104" s="705"/>
      <c r="AD104" s="705"/>
      <c r="AE104" s="705"/>
      <c r="AF104" s="705"/>
      <c r="AG104" s="705"/>
      <c r="AH104" s="705"/>
      <c r="AI104" s="705"/>
      <c r="AJ104" s="705"/>
      <c r="AK104" s="705"/>
      <c r="AL104" s="705"/>
      <c r="AM104" s="705"/>
      <c r="AN104" s="705"/>
      <c r="AO104" s="705"/>
      <c r="AP104" s="705"/>
      <c r="AQ104" s="705"/>
      <c r="AR104" s="705"/>
      <c r="AS104" s="705"/>
      <c r="AT104" s="705"/>
      <c r="AU104" s="705"/>
      <c r="AV104" s="705"/>
      <c r="AW104" s="705"/>
      <c r="AX104" s="705"/>
      <c r="AY104" s="705"/>
      <c r="AZ104" s="705"/>
      <c r="BA104" s="705"/>
      <c r="BB104" s="705"/>
      <c r="BC104" s="705"/>
      <c r="BD104" s="705"/>
      <c r="BE104" s="705"/>
      <c r="BF104" s="705"/>
      <c r="BG104" s="705"/>
      <c r="BH104" s="705"/>
      <c r="BI104" s="705"/>
      <c r="BJ104" s="705"/>
      <c r="BK104" s="705"/>
      <c r="BL104" s="705"/>
      <c r="BM104" s="705"/>
      <c r="BN104" s="705"/>
      <c r="BO104" s="705"/>
      <c r="BP104" s="705"/>
      <c r="BQ104" s="705"/>
      <c r="BR104" s="705"/>
      <c r="BS104" s="705"/>
      <c r="BT104" s="705"/>
      <c r="BU104" s="705"/>
      <c r="BV104" s="705"/>
      <c r="BW104" s="705"/>
      <c r="BX104" s="705"/>
      <c r="BY104" s="705"/>
      <c r="BZ104" s="705"/>
      <c r="CA104" s="705"/>
      <c r="CB104" s="705"/>
      <c r="CC104" s="705"/>
      <c r="CD104" s="705"/>
      <c r="CE104" s="705"/>
      <c r="CF104" s="705"/>
      <c r="CG104" s="705"/>
      <c r="CH104" s="705"/>
      <c r="CI104" s="705"/>
      <c r="CJ104" s="705"/>
      <c r="CK104" s="705"/>
      <c r="CL104" s="705"/>
      <c r="CM104" s="705"/>
      <c r="CN104" s="705"/>
      <c r="CO104" s="705"/>
      <c r="CP104" s="705"/>
      <c r="CQ104" s="705"/>
      <c r="CR104" s="705"/>
      <c r="CS104" s="705"/>
      <c r="CT104" s="705"/>
      <c r="CU104" s="705"/>
      <c r="CV104" s="705"/>
      <c r="CW104" s="705"/>
      <c r="CX104" s="705"/>
      <c r="CY104" s="705"/>
      <c r="CZ104" s="705"/>
      <c r="DA104" s="705"/>
      <c r="DB104" s="705"/>
      <c r="DC104" s="705"/>
      <c r="DD104" s="705"/>
      <c r="DE104" s="705"/>
      <c r="DF104" s="705"/>
      <c r="DG104" s="705"/>
      <c r="DH104" s="705"/>
      <c r="DI104" s="705"/>
      <c r="DJ104" s="705"/>
      <c r="DK104" s="705"/>
      <c r="DL104" s="705"/>
      <c r="DM104" s="705"/>
      <c r="DN104" s="705"/>
      <c r="DO104" s="705"/>
      <c r="DP104" s="705"/>
      <c r="DQ104" s="705"/>
      <c r="DR104" s="705"/>
      <c r="DS104" s="705"/>
      <c r="DT104" s="705"/>
      <c r="DU104" s="705"/>
      <c r="DV104" s="705"/>
      <c r="DW104" s="705"/>
      <c r="DX104" s="705"/>
      <c r="DY104" s="705"/>
      <c r="DZ104" s="705"/>
      <c r="EA104" s="705"/>
      <c r="EB104" s="705"/>
      <c r="EC104" s="705"/>
      <c r="ED104" s="705"/>
      <c r="EE104" s="705"/>
      <c r="EF104" s="705"/>
      <c r="EG104" s="705"/>
      <c r="EH104" s="705"/>
      <c r="EI104" s="705"/>
      <c r="EJ104" s="705"/>
      <c r="EK104" s="705"/>
      <c r="EL104" s="705"/>
      <c r="EM104" s="705"/>
      <c r="EN104" s="705"/>
      <c r="EO104" s="705"/>
      <c r="EP104" s="705"/>
      <c r="EQ104" s="705"/>
      <c r="ER104" s="705"/>
      <c r="ES104" s="705"/>
      <c r="ET104" s="705"/>
      <c r="EU104" s="705"/>
      <c r="EV104" s="705"/>
      <c r="EW104" s="705"/>
      <c r="EX104" s="705"/>
      <c r="EY104" s="705"/>
      <c r="EZ104" s="705"/>
      <c r="FA104" s="705"/>
      <c r="FB104" s="705"/>
      <c r="FC104" s="705"/>
      <c r="FD104" s="705"/>
      <c r="FE104" s="705"/>
      <c r="FF104" s="705"/>
      <c r="FG104" s="705"/>
      <c r="FH104" s="705"/>
      <c r="FI104" s="705"/>
      <c r="FJ104" s="705"/>
      <c r="FK104" s="705"/>
      <c r="FL104" s="705"/>
      <c r="FM104" s="705"/>
      <c r="FN104" s="705"/>
      <c r="FO104" s="705"/>
      <c r="FP104" s="705"/>
      <c r="FQ104" s="705"/>
      <c r="FR104" s="705"/>
      <c r="FS104" s="705"/>
      <c r="FT104" s="705"/>
      <c r="FU104" s="705"/>
      <c r="FV104" s="705"/>
      <c r="FW104" s="705"/>
      <c r="FX104" s="705"/>
      <c r="FY104" s="705"/>
      <c r="FZ104" s="705"/>
      <c r="GA104" s="705"/>
      <c r="GB104" s="705"/>
      <c r="GC104" s="705"/>
      <c r="GD104" s="705"/>
      <c r="GE104" s="705"/>
      <c r="GF104" s="705"/>
      <c r="GG104" s="705"/>
      <c r="GH104" s="705"/>
      <c r="GI104" s="705"/>
      <c r="GJ104" s="705"/>
      <c r="GK104" s="705"/>
      <c r="GL104" s="705"/>
      <c r="GM104" s="705"/>
      <c r="GN104" s="705"/>
      <c r="GO104" s="705"/>
      <c r="GP104" s="705"/>
      <c r="GQ104" s="705"/>
      <c r="GR104" s="705"/>
      <c r="GS104" s="705"/>
      <c r="GT104" s="705"/>
      <c r="GU104" s="705"/>
      <c r="GV104" s="705"/>
      <c r="GW104" s="705"/>
      <c r="GX104" s="705"/>
      <c r="GY104" s="705"/>
      <c r="GZ104" s="705"/>
      <c r="HA104" s="705"/>
      <c r="HB104" s="705"/>
      <c r="HC104" s="705"/>
      <c r="HD104" s="705"/>
      <c r="HE104" s="705"/>
      <c r="HF104" s="705"/>
      <c r="HG104" s="705"/>
      <c r="HH104" s="705"/>
      <c r="HI104" s="705"/>
      <c r="HJ104" s="705"/>
      <c r="HK104" s="705"/>
      <c r="HL104" s="705"/>
      <c r="HM104" s="705"/>
      <c r="HN104" s="705"/>
      <c r="HO104" s="705"/>
      <c r="HP104" s="705"/>
      <c r="HQ104" s="705"/>
      <c r="HR104" s="705"/>
      <c r="HS104" s="705"/>
      <c r="HT104" s="705"/>
      <c r="HU104" s="705"/>
      <c r="HV104" s="705"/>
      <c r="HW104" s="705"/>
    </row>
    <row r="105" spans="1:231" ht="14.1" customHeight="1">
      <c r="A105" s="705"/>
      <c r="B105" s="732"/>
      <c r="C105" s="732"/>
      <c r="E105" s="753"/>
      <c r="F105" s="705"/>
      <c r="G105" s="705"/>
      <c r="H105" s="705"/>
      <c r="I105" s="705"/>
      <c r="K105" s="724"/>
      <c r="L105" s="704"/>
      <c r="M105" s="704"/>
      <c r="N105" s="704"/>
      <c r="O105" s="704"/>
      <c r="P105" s="704"/>
      <c r="Q105" s="704"/>
      <c r="R105" s="704"/>
      <c r="S105" s="704"/>
      <c r="T105" s="704"/>
      <c r="U105" s="704"/>
      <c r="V105" s="704"/>
      <c r="W105" s="704"/>
      <c r="X105" s="705"/>
      <c r="Y105" s="705"/>
      <c r="Z105" s="705"/>
      <c r="AA105" s="705"/>
      <c r="AB105" s="705"/>
      <c r="AC105" s="705"/>
      <c r="AD105" s="705"/>
      <c r="AE105" s="705"/>
      <c r="AF105" s="705"/>
      <c r="AG105" s="705"/>
      <c r="AH105" s="705"/>
      <c r="AI105" s="705"/>
      <c r="AJ105" s="705"/>
      <c r="AK105" s="705"/>
      <c r="AL105" s="705"/>
      <c r="AM105" s="705"/>
      <c r="AN105" s="705"/>
      <c r="AO105" s="705"/>
      <c r="AP105" s="705"/>
      <c r="AQ105" s="705"/>
      <c r="AR105" s="705"/>
      <c r="AS105" s="705"/>
      <c r="AT105" s="705"/>
      <c r="AU105" s="705"/>
      <c r="AV105" s="705"/>
      <c r="AW105" s="705"/>
      <c r="AX105" s="705"/>
      <c r="AY105" s="705"/>
      <c r="AZ105" s="705"/>
      <c r="BA105" s="705"/>
      <c r="BB105" s="705"/>
      <c r="BC105" s="705"/>
      <c r="BD105" s="705"/>
      <c r="BE105" s="705"/>
      <c r="BF105" s="705"/>
      <c r="BG105" s="705"/>
      <c r="BH105" s="705"/>
      <c r="BI105" s="705"/>
      <c r="BJ105" s="705"/>
      <c r="BK105" s="705"/>
      <c r="BL105" s="705"/>
      <c r="BM105" s="705"/>
      <c r="BN105" s="705"/>
      <c r="BO105" s="705"/>
      <c r="BP105" s="705"/>
      <c r="BQ105" s="705"/>
      <c r="BR105" s="705"/>
      <c r="BS105" s="705"/>
      <c r="BT105" s="705"/>
      <c r="BU105" s="705"/>
      <c r="BV105" s="705"/>
      <c r="BW105" s="705"/>
      <c r="BX105" s="705"/>
      <c r="BY105" s="705"/>
      <c r="BZ105" s="705"/>
      <c r="CA105" s="705"/>
      <c r="CB105" s="705"/>
      <c r="CC105" s="705"/>
      <c r="CD105" s="705"/>
      <c r="CE105" s="705"/>
      <c r="CF105" s="705"/>
      <c r="CG105" s="705"/>
      <c r="CH105" s="705"/>
      <c r="CI105" s="705"/>
      <c r="CJ105" s="705"/>
      <c r="CK105" s="705"/>
      <c r="CL105" s="705"/>
      <c r="CM105" s="705"/>
      <c r="CN105" s="705"/>
      <c r="CO105" s="705"/>
      <c r="CP105" s="705"/>
      <c r="CQ105" s="705"/>
      <c r="CR105" s="705"/>
      <c r="CS105" s="705"/>
      <c r="CT105" s="705"/>
      <c r="CU105" s="705"/>
      <c r="CV105" s="705"/>
      <c r="CW105" s="705"/>
      <c r="CX105" s="705"/>
      <c r="CY105" s="705"/>
      <c r="CZ105" s="705"/>
      <c r="DA105" s="705"/>
      <c r="DB105" s="705"/>
      <c r="DC105" s="705"/>
      <c r="DD105" s="705"/>
      <c r="DE105" s="705"/>
      <c r="DF105" s="705"/>
      <c r="DG105" s="705"/>
      <c r="DH105" s="705"/>
      <c r="DI105" s="705"/>
      <c r="DJ105" s="705"/>
      <c r="DK105" s="705"/>
      <c r="DL105" s="705"/>
      <c r="DM105" s="705"/>
      <c r="DN105" s="705"/>
      <c r="DO105" s="705"/>
      <c r="DP105" s="705"/>
      <c r="DQ105" s="705"/>
      <c r="DR105" s="705"/>
      <c r="DS105" s="705"/>
      <c r="DT105" s="705"/>
      <c r="DU105" s="705"/>
      <c r="DV105" s="705"/>
      <c r="DW105" s="705"/>
      <c r="DX105" s="705"/>
      <c r="DY105" s="705"/>
      <c r="DZ105" s="705"/>
      <c r="EA105" s="705"/>
      <c r="EB105" s="705"/>
      <c r="EC105" s="705"/>
      <c r="ED105" s="705"/>
      <c r="EE105" s="705"/>
      <c r="EF105" s="705"/>
      <c r="EG105" s="705"/>
      <c r="EH105" s="705"/>
      <c r="EI105" s="705"/>
      <c r="EJ105" s="705"/>
      <c r="EK105" s="705"/>
      <c r="EL105" s="705"/>
      <c r="EM105" s="705"/>
      <c r="EN105" s="705"/>
      <c r="EO105" s="705"/>
      <c r="EP105" s="705"/>
      <c r="EQ105" s="705"/>
      <c r="ER105" s="705"/>
      <c r="ES105" s="705"/>
      <c r="ET105" s="705"/>
      <c r="EU105" s="705"/>
      <c r="EV105" s="705"/>
      <c r="EW105" s="705"/>
      <c r="EX105" s="705"/>
      <c r="EY105" s="705"/>
      <c r="EZ105" s="705"/>
      <c r="FA105" s="705"/>
      <c r="FB105" s="705"/>
      <c r="FC105" s="705"/>
      <c r="FD105" s="705"/>
      <c r="FE105" s="705"/>
      <c r="FF105" s="705"/>
      <c r="FG105" s="705"/>
      <c r="FH105" s="705"/>
      <c r="FI105" s="705"/>
      <c r="FJ105" s="705"/>
      <c r="FK105" s="705"/>
      <c r="FL105" s="705"/>
      <c r="FM105" s="705"/>
      <c r="FN105" s="705"/>
      <c r="FO105" s="705"/>
      <c r="FP105" s="705"/>
      <c r="FQ105" s="705"/>
      <c r="FR105" s="705"/>
      <c r="FS105" s="705"/>
      <c r="FT105" s="705"/>
      <c r="FU105" s="705"/>
      <c r="FV105" s="705"/>
      <c r="FW105" s="705"/>
      <c r="FX105" s="705"/>
      <c r="FY105" s="705"/>
      <c r="FZ105" s="705"/>
      <c r="GA105" s="705"/>
      <c r="GB105" s="705"/>
      <c r="GC105" s="705"/>
      <c r="GD105" s="705"/>
      <c r="GE105" s="705"/>
      <c r="GF105" s="705"/>
      <c r="GG105" s="705"/>
      <c r="GH105" s="705"/>
      <c r="GI105" s="705"/>
      <c r="GJ105" s="705"/>
      <c r="GK105" s="705"/>
      <c r="GL105" s="705"/>
      <c r="GM105" s="705"/>
      <c r="GN105" s="705"/>
      <c r="GO105" s="705"/>
      <c r="GP105" s="705"/>
      <c r="GQ105" s="705"/>
      <c r="GR105" s="705"/>
      <c r="GS105" s="705"/>
      <c r="GT105" s="705"/>
      <c r="GU105" s="705"/>
      <c r="GV105" s="705"/>
      <c r="GW105" s="705"/>
      <c r="GX105" s="705"/>
      <c r="GY105" s="705"/>
      <c r="GZ105" s="705"/>
      <c r="HA105" s="705"/>
      <c r="HB105" s="705"/>
      <c r="HC105" s="705"/>
      <c r="HD105" s="705"/>
      <c r="HE105" s="705"/>
      <c r="HF105" s="705"/>
      <c r="HG105" s="705"/>
      <c r="HH105" s="705"/>
      <c r="HI105" s="705"/>
      <c r="HJ105" s="705"/>
      <c r="HK105" s="705"/>
      <c r="HL105" s="705"/>
      <c r="HM105" s="705"/>
      <c r="HN105" s="705"/>
      <c r="HO105" s="705"/>
      <c r="HP105" s="705"/>
      <c r="HQ105" s="705"/>
      <c r="HR105" s="705"/>
      <c r="HS105" s="705"/>
      <c r="HT105" s="705"/>
      <c r="HU105" s="705"/>
      <c r="HV105" s="705"/>
      <c r="HW105" s="705"/>
    </row>
    <row r="106" spans="1:231" ht="14.1" customHeight="1">
      <c r="A106" s="705"/>
      <c r="B106" s="732"/>
      <c r="C106" s="732"/>
      <c r="E106" s="753"/>
      <c r="F106" s="705"/>
      <c r="G106" s="705"/>
      <c r="H106" s="705"/>
      <c r="I106" s="705"/>
      <c r="K106" s="724"/>
      <c r="L106" s="704"/>
      <c r="M106" s="704"/>
      <c r="N106" s="704"/>
      <c r="O106" s="704"/>
      <c r="P106" s="704"/>
      <c r="Q106" s="704"/>
      <c r="R106" s="704"/>
      <c r="S106" s="704"/>
      <c r="T106" s="704"/>
      <c r="U106" s="704"/>
      <c r="V106" s="704"/>
      <c r="W106" s="704"/>
      <c r="X106" s="705"/>
      <c r="Y106" s="705"/>
      <c r="Z106" s="705"/>
      <c r="AA106" s="705"/>
      <c r="AB106" s="705"/>
      <c r="AC106" s="705"/>
      <c r="AD106" s="705"/>
      <c r="AE106" s="705"/>
      <c r="AF106" s="705"/>
      <c r="AG106" s="705"/>
      <c r="AH106" s="705"/>
      <c r="AI106" s="705"/>
      <c r="AJ106" s="705"/>
      <c r="AK106" s="705"/>
      <c r="AL106" s="705"/>
      <c r="AM106" s="705"/>
      <c r="AN106" s="705"/>
      <c r="AO106" s="705"/>
      <c r="AP106" s="705"/>
      <c r="AQ106" s="705"/>
      <c r="AR106" s="705"/>
      <c r="AS106" s="705"/>
      <c r="AT106" s="705"/>
      <c r="AU106" s="705"/>
      <c r="AV106" s="705"/>
      <c r="AW106" s="705"/>
      <c r="AX106" s="705"/>
      <c r="AY106" s="705"/>
      <c r="AZ106" s="705"/>
      <c r="BA106" s="705"/>
      <c r="BB106" s="705"/>
      <c r="BC106" s="705"/>
      <c r="BD106" s="705"/>
      <c r="BE106" s="705"/>
      <c r="BF106" s="705"/>
      <c r="BG106" s="705"/>
      <c r="BH106" s="705"/>
      <c r="BI106" s="705"/>
      <c r="BJ106" s="705"/>
      <c r="BK106" s="705"/>
      <c r="BL106" s="705"/>
      <c r="BM106" s="705"/>
      <c r="BN106" s="705"/>
      <c r="BO106" s="705"/>
      <c r="BP106" s="705"/>
      <c r="BQ106" s="705"/>
      <c r="BR106" s="705"/>
      <c r="BS106" s="705"/>
      <c r="BT106" s="705"/>
      <c r="BU106" s="705"/>
      <c r="BV106" s="705"/>
      <c r="BW106" s="705"/>
      <c r="BX106" s="705"/>
      <c r="BY106" s="705"/>
      <c r="BZ106" s="705"/>
      <c r="CA106" s="705"/>
      <c r="CB106" s="705"/>
      <c r="CC106" s="705"/>
      <c r="CD106" s="705"/>
      <c r="CE106" s="705"/>
      <c r="CF106" s="705"/>
      <c r="CG106" s="705"/>
      <c r="CH106" s="705"/>
      <c r="CI106" s="705"/>
      <c r="CJ106" s="705"/>
      <c r="CK106" s="705"/>
      <c r="CL106" s="705"/>
      <c r="CM106" s="705"/>
      <c r="CN106" s="705"/>
      <c r="CO106" s="705"/>
      <c r="CP106" s="705"/>
      <c r="CQ106" s="705"/>
      <c r="CR106" s="705"/>
      <c r="CS106" s="705"/>
      <c r="CT106" s="705"/>
      <c r="CU106" s="705"/>
      <c r="CV106" s="705"/>
      <c r="CW106" s="705"/>
      <c r="CX106" s="705"/>
      <c r="CY106" s="705"/>
      <c r="CZ106" s="705"/>
      <c r="DA106" s="705"/>
      <c r="DB106" s="705"/>
      <c r="DC106" s="705"/>
      <c r="DD106" s="705"/>
      <c r="DE106" s="705"/>
      <c r="DF106" s="705"/>
      <c r="DG106" s="705"/>
      <c r="DH106" s="705"/>
      <c r="DI106" s="705"/>
      <c r="DJ106" s="705"/>
      <c r="DK106" s="705"/>
      <c r="DL106" s="705"/>
      <c r="DM106" s="705"/>
      <c r="DN106" s="705"/>
      <c r="DO106" s="705"/>
      <c r="DP106" s="705"/>
      <c r="DQ106" s="705"/>
      <c r="DR106" s="705"/>
      <c r="DS106" s="705"/>
      <c r="DT106" s="705"/>
      <c r="DU106" s="705"/>
      <c r="DV106" s="705"/>
      <c r="DW106" s="705"/>
      <c r="DX106" s="705"/>
      <c r="DY106" s="705"/>
      <c r="DZ106" s="705"/>
      <c r="EA106" s="705"/>
      <c r="EB106" s="705"/>
      <c r="EC106" s="705"/>
      <c r="ED106" s="705"/>
      <c r="EE106" s="705"/>
      <c r="EF106" s="705"/>
      <c r="EG106" s="705"/>
      <c r="EH106" s="705"/>
      <c r="EI106" s="705"/>
      <c r="EJ106" s="705"/>
      <c r="EK106" s="705"/>
      <c r="EL106" s="705"/>
      <c r="EM106" s="705"/>
      <c r="EN106" s="705"/>
      <c r="EO106" s="705"/>
      <c r="EP106" s="705"/>
      <c r="EQ106" s="705"/>
      <c r="ER106" s="705"/>
      <c r="ES106" s="705"/>
      <c r="ET106" s="705"/>
      <c r="EU106" s="705"/>
      <c r="EV106" s="705"/>
      <c r="EW106" s="705"/>
      <c r="EX106" s="705"/>
      <c r="EY106" s="705"/>
      <c r="EZ106" s="705"/>
      <c r="FA106" s="705"/>
      <c r="FB106" s="705"/>
      <c r="FC106" s="705"/>
      <c r="FD106" s="705"/>
      <c r="FE106" s="705"/>
      <c r="FF106" s="705"/>
      <c r="FG106" s="705"/>
      <c r="FH106" s="705"/>
      <c r="FI106" s="705"/>
      <c r="FJ106" s="705"/>
      <c r="FK106" s="705"/>
      <c r="FL106" s="705"/>
      <c r="FM106" s="705"/>
      <c r="FN106" s="705"/>
      <c r="FO106" s="705"/>
      <c r="FP106" s="705"/>
      <c r="FQ106" s="705"/>
      <c r="FR106" s="705"/>
      <c r="FS106" s="705"/>
      <c r="FT106" s="705"/>
      <c r="FU106" s="705"/>
      <c r="FV106" s="705"/>
      <c r="FW106" s="705"/>
      <c r="FX106" s="705"/>
      <c r="FY106" s="705"/>
      <c r="FZ106" s="705"/>
      <c r="GA106" s="705"/>
      <c r="GB106" s="705"/>
      <c r="GC106" s="705"/>
      <c r="GD106" s="705"/>
      <c r="GE106" s="705"/>
      <c r="GF106" s="705"/>
      <c r="GG106" s="705"/>
      <c r="GH106" s="705"/>
      <c r="GI106" s="705"/>
      <c r="GJ106" s="705"/>
      <c r="GK106" s="705"/>
      <c r="GL106" s="705"/>
      <c r="GM106" s="705"/>
      <c r="GN106" s="705"/>
      <c r="GO106" s="705"/>
      <c r="GP106" s="705"/>
      <c r="GQ106" s="705"/>
      <c r="GR106" s="705"/>
      <c r="GS106" s="705"/>
      <c r="GT106" s="705"/>
      <c r="GU106" s="705"/>
      <c r="GV106" s="705"/>
      <c r="GW106" s="705"/>
      <c r="GX106" s="705"/>
      <c r="GY106" s="705"/>
      <c r="GZ106" s="705"/>
      <c r="HA106" s="705"/>
      <c r="HB106" s="705"/>
      <c r="HC106" s="705"/>
      <c r="HD106" s="705"/>
      <c r="HE106" s="705"/>
      <c r="HF106" s="705"/>
      <c r="HG106" s="705"/>
      <c r="HH106" s="705"/>
      <c r="HI106" s="705"/>
      <c r="HJ106" s="705"/>
      <c r="HK106" s="705"/>
      <c r="HL106" s="705"/>
      <c r="HM106" s="705"/>
      <c r="HN106" s="705"/>
      <c r="HO106" s="705"/>
      <c r="HP106" s="705"/>
      <c r="HQ106" s="705"/>
      <c r="HR106" s="705"/>
      <c r="HS106" s="705"/>
      <c r="HT106" s="705"/>
      <c r="HU106" s="705"/>
      <c r="HV106" s="705"/>
      <c r="HW106" s="705"/>
    </row>
    <row r="107" spans="1:231" ht="14.1" customHeight="1">
      <c r="A107" s="705"/>
      <c r="B107" s="732"/>
      <c r="C107" s="732"/>
      <c r="E107" s="753"/>
      <c r="F107" s="705"/>
      <c r="G107" s="705"/>
      <c r="H107" s="705"/>
      <c r="I107" s="705"/>
      <c r="K107" s="724"/>
      <c r="L107" s="704"/>
      <c r="M107" s="704"/>
      <c r="N107" s="704"/>
      <c r="O107" s="704"/>
      <c r="P107" s="704"/>
      <c r="Q107" s="704"/>
      <c r="R107" s="704"/>
      <c r="S107" s="704"/>
      <c r="T107" s="704"/>
      <c r="U107" s="704"/>
      <c r="V107" s="704"/>
      <c r="W107" s="704"/>
      <c r="X107" s="705"/>
      <c r="Y107" s="705"/>
      <c r="Z107" s="705"/>
      <c r="AA107" s="705"/>
      <c r="AB107" s="705"/>
      <c r="AC107" s="705"/>
      <c r="AD107" s="705"/>
      <c r="AE107" s="705"/>
      <c r="AF107" s="705"/>
      <c r="AG107" s="705"/>
      <c r="AH107" s="705"/>
      <c r="AI107" s="705"/>
      <c r="AJ107" s="705"/>
      <c r="AK107" s="705"/>
      <c r="AL107" s="705"/>
      <c r="AM107" s="705"/>
      <c r="AN107" s="705"/>
      <c r="AO107" s="705"/>
      <c r="AP107" s="705"/>
      <c r="AQ107" s="705"/>
      <c r="AR107" s="705"/>
      <c r="AS107" s="705"/>
      <c r="AT107" s="705"/>
      <c r="AU107" s="705"/>
      <c r="AV107" s="705"/>
      <c r="AW107" s="705"/>
      <c r="AX107" s="705"/>
      <c r="AY107" s="705"/>
      <c r="AZ107" s="705"/>
      <c r="BA107" s="705"/>
      <c r="BB107" s="705"/>
      <c r="BC107" s="705"/>
      <c r="BD107" s="705"/>
      <c r="BE107" s="705"/>
      <c r="BF107" s="705"/>
      <c r="BG107" s="705"/>
      <c r="BH107" s="705"/>
      <c r="BI107" s="705"/>
      <c r="BJ107" s="705"/>
      <c r="BK107" s="705"/>
      <c r="BL107" s="705"/>
      <c r="BM107" s="705"/>
      <c r="BN107" s="705"/>
      <c r="BO107" s="705"/>
      <c r="BP107" s="705"/>
      <c r="BQ107" s="705"/>
      <c r="BR107" s="705"/>
      <c r="BS107" s="705"/>
      <c r="BT107" s="705"/>
      <c r="BU107" s="705"/>
      <c r="BV107" s="705"/>
      <c r="BW107" s="705"/>
      <c r="BX107" s="705"/>
      <c r="BY107" s="705"/>
      <c r="BZ107" s="705"/>
      <c r="CA107" s="705"/>
      <c r="CB107" s="705"/>
      <c r="CC107" s="705"/>
      <c r="CD107" s="705"/>
      <c r="CE107" s="705"/>
      <c r="CF107" s="705"/>
      <c r="CG107" s="705"/>
      <c r="CH107" s="705"/>
      <c r="CI107" s="705"/>
      <c r="CJ107" s="705"/>
      <c r="CK107" s="705"/>
      <c r="CL107" s="705"/>
      <c r="CM107" s="705"/>
      <c r="CN107" s="705"/>
      <c r="CO107" s="705"/>
      <c r="CP107" s="705"/>
      <c r="CQ107" s="705"/>
      <c r="CR107" s="705"/>
      <c r="CS107" s="705"/>
      <c r="CT107" s="705"/>
      <c r="CU107" s="705"/>
      <c r="CV107" s="705"/>
      <c r="CW107" s="705"/>
      <c r="CX107" s="705"/>
      <c r="CY107" s="705"/>
      <c r="CZ107" s="705"/>
      <c r="DA107" s="705"/>
      <c r="DB107" s="705"/>
      <c r="DC107" s="705"/>
      <c r="DD107" s="705"/>
      <c r="DE107" s="705"/>
      <c r="DF107" s="705"/>
      <c r="DG107" s="705"/>
      <c r="DH107" s="705"/>
      <c r="DI107" s="705"/>
      <c r="DJ107" s="705"/>
      <c r="DK107" s="705"/>
      <c r="DL107" s="705"/>
      <c r="DM107" s="705"/>
      <c r="DN107" s="705"/>
      <c r="DO107" s="705"/>
      <c r="DP107" s="705"/>
      <c r="DQ107" s="705"/>
      <c r="DR107" s="705"/>
      <c r="DS107" s="705"/>
      <c r="DT107" s="705"/>
      <c r="DU107" s="705"/>
      <c r="DV107" s="705"/>
      <c r="DW107" s="705"/>
      <c r="DX107" s="705"/>
      <c r="DY107" s="705"/>
      <c r="DZ107" s="705"/>
      <c r="EA107" s="705"/>
      <c r="EB107" s="705"/>
      <c r="EC107" s="705"/>
      <c r="ED107" s="705"/>
      <c r="EE107" s="705"/>
      <c r="EF107" s="705"/>
      <c r="EG107" s="705"/>
      <c r="EH107" s="705"/>
      <c r="EI107" s="705"/>
      <c r="EJ107" s="705"/>
      <c r="EK107" s="705"/>
      <c r="EL107" s="705"/>
      <c r="EM107" s="705"/>
      <c r="EN107" s="705"/>
      <c r="EO107" s="705"/>
      <c r="EP107" s="705"/>
      <c r="EQ107" s="705"/>
      <c r="ER107" s="705"/>
      <c r="ES107" s="705"/>
      <c r="ET107" s="705"/>
      <c r="EU107" s="705"/>
      <c r="EV107" s="705"/>
      <c r="EW107" s="705"/>
      <c r="EX107" s="705"/>
      <c r="EY107" s="705"/>
      <c r="EZ107" s="705"/>
      <c r="FA107" s="705"/>
      <c r="FB107" s="705"/>
      <c r="FC107" s="705"/>
      <c r="FD107" s="705"/>
      <c r="FE107" s="705"/>
      <c r="FF107" s="705"/>
      <c r="FG107" s="705"/>
      <c r="FH107" s="705"/>
      <c r="FI107" s="705"/>
      <c r="FJ107" s="705"/>
      <c r="FK107" s="705"/>
      <c r="FL107" s="705"/>
      <c r="FM107" s="705"/>
      <c r="FN107" s="705"/>
      <c r="FO107" s="705"/>
      <c r="FP107" s="705"/>
      <c r="FQ107" s="705"/>
      <c r="FR107" s="705"/>
      <c r="FS107" s="705"/>
      <c r="FT107" s="705"/>
      <c r="FU107" s="705"/>
      <c r="FV107" s="705"/>
      <c r="FW107" s="705"/>
      <c r="FX107" s="705"/>
      <c r="FY107" s="705"/>
      <c r="FZ107" s="705"/>
      <c r="GA107" s="705"/>
      <c r="GB107" s="705"/>
      <c r="GC107" s="705"/>
      <c r="GD107" s="705"/>
      <c r="GE107" s="705"/>
      <c r="GF107" s="705"/>
      <c r="GG107" s="705"/>
      <c r="GH107" s="705"/>
      <c r="GI107" s="705"/>
      <c r="GJ107" s="705"/>
      <c r="GK107" s="705"/>
      <c r="GL107" s="705"/>
      <c r="GM107" s="705"/>
      <c r="GN107" s="705"/>
      <c r="GO107" s="705"/>
      <c r="GP107" s="705"/>
      <c r="GQ107" s="705"/>
      <c r="GR107" s="705"/>
      <c r="GS107" s="705"/>
      <c r="GT107" s="705"/>
      <c r="GU107" s="705"/>
      <c r="GV107" s="705"/>
      <c r="GW107" s="705"/>
      <c r="GX107" s="705"/>
      <c r="GY107" s="705"/>
      <c r="GZ107" s="705"/>
      <c r="HA107" s="705"/>
      <c r="HB107" s="705"/>
      <c r="HC107" s="705"/>
      <c r="HD107" s="705"/>
      <c r="HE107" s="705"/>
      <c r="HF107" s="705"/>
      <c r="HG107" s="705"/>
      <c r="HH107" s="705"/>
      <c r="HI107" s="705"/>
      <c r="HJ107" s="705"/>
      <c r="HK107" s="705"/>
      <c r="HL107" s="705"/>
      <c r="HM107" s="705"/>
      <c r="HN107" s="705"/>
      <c r="HO107" s="705"/>
      <c r="HP107" s="705"/>
      <c r="HQ107" s="705"/>
      <c r="HR107" s="705"/>
      <c r="HS107" s="705"/>
      <c r="HT107" s="705"/>
      <c r="HU107" s="705"/>
      <c r="HV107" s="705"/>
      <c r="HW107" s="705"/>
    </row>
    <row r="108" spans="1:231" ht="14.1" customHeight="1">
      <c r="A108" s="705"/>
      <c r="B108" s="732"/>
      <c r="C108" s="732"/>
      <c r="E108" s="753"/>
      <c r="F108" s="705"/>
      <c r="G108" s="705"/>
      <c r="H108" s="705"/>
      <c r="I108" s="705"/>
      <c r="K108" s="724"/>
      <c r="L108" s="704"/>
      <c r="M108" s="704"/>
      <c r="N108" s="704"/>
      <c r="O108" s="704"/>
      <c r="P108" s="704"/>
      <c r="Q108" s="704"/>
      <c r="R108" s="704"/>
      <c r="S108" s="704"/>
      <c r="T108" s="704"/>
      <c r="U108" s="704"/>
      <c r="V108" s="704"/>
      <c r="W108" s="704"/>
      <c r="X108" s="705"/>
      <c r="Y108" s="705"/>
      <c r="Z108" s="705"/>
      <c r="AA108" s="705"/>
      <c r="AB108" s="705"/>
      <c r="AC108" s="705"/>
      <c r="AD108" s="705"/>
      <c r="AE108" s="705"/>
      <c r="AF108" s="705"/>
      <c r="AG108" s="705"/>
      <c r="AH108" s="705"/>
      <c r="AI108" s="705"/>
      <c r="AJ108" s="705"/>
      <c r="AK108" s="705"/>
      <c r="AL108" s="705"/>
      <c r="AM108" s="705"/>
      <c r="AN108" s="705"/>
      <c r="AO108" s="705"/>
      <c r="AP108" s="705"/>
      <c r="AQ108" s="705"/>
      <c r="AR108" s="705"/>
      <c r="AS108" s="705"/>
      <c r="AT108" s="705"/>
      <c r="AU108" s="705"/>
      <c r="AV108" s="705"/>
      <c r="AW108" s="705"/>
      <c r="AX108" s="705"/>
      <c r="AY108" s="705"/>
      <c r="AZ108" s="705"/>
      <c r="BA108" s="705"/>
      <c r="BB108" s="705"/>
      <c r="BC108" s="705"/>
      <c r="BD108" s="705"/>
      <c r="BE108" s="705"/>
      <c r="BF108" s="705"/>
      <c r="BG108" s="705"/>
      <c r="BH108" s="705"/>
      <c r="BI108" s="705"/>
      <c r="BJ108" s="705"/>
      <c r="BK108" s="705"/>
      <c r="BL108" s="705"/>
      <c r="BM108" s="705"/>
      <c r="BN108" s="705"/>
      <c r="BO108" s="705"/>
      <c r="BP108" s="705"/>
      <c r="BQ108" s="705"/>
      <c r="BR108" s="705"/>
      <c r="BS108" s="705"/>
      <c r="BT108" s="705"/>
      <c r="BU108" s="705"/>
      <c r="BV108" s="705"/>
      <c r="BW108" s="705"/>
      <c r="BX108" s="705"/>
      <c r="BY108" s="705"/>
      <c r="BZ108" s="705"/>
      <c r="CA108" s="705"/>
      <c r="CB108" s="705"/>
      <c r="CC108" s="705"/>
      <c r="CD108" s="705"/>
      <c r="CE108" s="705"/>
      <c r="CF108" s="705"/>
      <c r="CG108" s="705"/>
      <c r="CH108" s="705"/>
      <c r="CI108" s="705"/>
      <c r="CJ108" s="705"/>
      <c r="CK108" s="705"/>
      <c r="CL108" s="705"/>
      <c r="CM108" s="705"/>
      <c r="CN108" s="705"/>
      <c r="CO108" s="705"/>
      <c r="CP108" s="705"/>
      <c r="CQ108" s="705"/>
      <c r="CR108" s="705"/>
      <c r="CS108" s="705"/>
      <c r="CT108" s="705"/>
      <c r="CU108" s="705"/>
      <c r="CV108" s="705"/>
      <c r="CW108" s="705"/>
      <c r="CX108" s="705"/>
      <c r="CY108" s="705"/>
      <c r="CZ108" s="705"/>
      <c r="DA108" s="705"/>
      <c r="DB108" s="705"/>
      <c r="DC108" s="705"/>
      <c r="DD108" s="705"/>
      <c r="DE108" s="705"/>
      <c r="DF108" s="705"/>
      <c r="DG108" s="705"/>
      <c r="DH108" s="705"/>
      <c r="DI108" s="705"/>
      <c r="DJ108" s="705"/>
      <c r="DK108" s="705"/>
      <c r="DL108" s="705"/>
      <c r="DM108" s="705"/>
      <c r="DN108" s="705"/>
      <c r="DO108" s="705"/>
      <c r="DP108" s="705"/>
      <c r="DQ108" s="705"/>
      <c r="DR108" s="705"/>
      <c r="DS108" s="705"/>
      <c r="DT108" s="705"/>
      <c r="DU108" s="705"/>
      <c r="DV108" s="705"/>
      <c r="DW108" s="705"/>
      <c r="DX108" s="705"/>
      <c r="DY108" s="705"/>
      <c r="DZ108" s="705"/>
      <c r="EA108" s="705"/>
      <c r="EB108" s="705"/>
      <c r="EC108" s="705"/>
      <c r="ED108" s="705"/>
      <c r="EE108" s="705"/>
      <c r="EF108" s="705"/>
      <c r="EG108" s="705"/>
      <c r="EH108" s="705"/>
      <c r="EI108" s="705"/>
      <c r="EJ108" s="705"/>
      <c r="EK108" s="705"/>
      <c r="EL108" s="705"/>
      <c r="EM108" s="705"/>
      <c r="EN108" s="705"/>
      <c r="EO108" s="705"/>
      <c r="EP108" s="705"/>
      <c r="EQ108" s="705"/>
      <c r="ER108" s="705"/>
      <c r="ES108" s="705"/>
      <c r="ET108" s="705"/>
      <c r="EU108" s="705"/>
      <c r="EV108" s="705"/>
      <c r="EW108" s="705"/>
      <c r="EX108" s="705"/>
      <c r="EY108" s="705"/>
      <c r="EZ108" s="705"/>
      <c r="FA108" s="705"/>
      <c r="FB108" s="705"/>
      <c r="FC108" s="705"/>
      <c r="FD108" s="705"/>
      <c r="FE108" s="705"/>
      <c r="FF108" s="705"/>
      <c r="FG108" s="705"/>
      <c r="FH108" s="705"/>
      <c r="FI108" s="705"/>
      <c r="FJ108" s="705"/>
      <c r="FK108" s="705"/>
      <c r="FL108" s="705"/>
      <c r="FM108" s="705"/>
      <c r="FN108" s="705"/>
      <c r="FO108" s="705"/>
      <c r="FP108" s="705"/>
      <c r="FQ108" s="705"/>
      <c r="FR108" s="705"/>
      <c r="FS108" s="705"/>
      <c r="FT108" s="705"/>
      <c r="FU108" s="705"/>
      <c r="FV108" s="705"/>
      <c r="FW108" s="705"/>
      <c r="FX108" s="705"/>
      <c r="FY108" s="705"/>
      <c r="FZ108" s="705"/>
      <c r="GA108" s="705"/>
      <c r="GB108" s="705"/>
      <c r="GC108" s="705"/>
      <c r="GD108" s="705"/>
      <c r="GE108" s="705"/>
      <c r="GF108" s="705"/>
      <c r="GG108" s="705"/>
      <c r="GH108" s="705"/>
      <c r="GI108" s="705"/>
      <c r="GJ108" s="705"/>
      <c r="GK108" s="705"/>
      <c r="GL108" s="705"/>
      <c r="GM108" s="705"/>
      <c r="GN108" s="705"/>
      <c r="GO108" s="705"/>
      <c r="GP108" s="705"/>
      <c r="GQ108" s="705"/>
      <c r="GR108" s="705"/>
      <c r="GS108" s="705"/>
      <c r="GT108" s="705"/>
      <c r="GU108" s="705"/>
      <c r="GV108" s="705"/>
      <c r="GW108" s="705"/>
      <c r="GX108" s="705"/>
      <c r="GY108" s="705"/>
      <c r="GZ108" s="705"/>
      <c r="HA108" s="705"/>
      <c r="HB108" s="705"/>
      <c r="HC108" s="705"/>
      <c r="HD108" s="705"/>
      <c r="HE108" s="705"/>
      <c r="HF108" s="705"/>
      <c r="HG108" s="705"/>
      <c r="HH108" s="705"/>
      <c r="HI108" s="705"/>
      <c r="HJ108" s="705"/>
      <c r="HK108" s="705"/>
      <c r="HL108" s="705"/>
      <c r="HM108" s="705"/>
      <c r="HN108" s="705"/>
      <c r="HO108" s="705"/>
      <c r="HP108" s="705"/>
      <c r="HQ108" s="705"/>
      <c r="HR108" s="705"/>
      <c r="HS108" s="705"/>
      <c r="HT108" s="705"/>
      <c r="HU108" s="705"/>
      <c r="HV108" s="705"/>
      <c r="HW108" s="705"/>
    </row>
    <row r="109" spans="1:231" ht="14.1" customHeight="1">
      <c r="F109" s="705"/>
      <c r="G109" s="705"/>
      <c r="H109" s="705"/>
      <c r="I109" s="705"/>
      <c r="K109" s="724"/>
      <c r="L109" s="704"/>
      <c r="M109" s="704"/>
      <c r="N109" s="704"/>
      <c r="O109" s="704"/>
      <c r="P109" s="704"/>
      <c r="Q109" s="704"/>
      <c r="R109" s="704"/>
      <c r="S109" s="704"/>
      <c r="T109" s="704"/>
      <c r="U109" s="704"/>
      <c r="V109" s="704"/>
      <c r="W109" s="704"/>
      <c r="X109" s="705"/>
      <c r="Y109" s="705"/>
      <c r="Z109" s="705"/>
      <c r="AA109" s="705"/>
      <c r="AB109" s="705"/>
      <c r="AC109" s="705"/>
      <c r="AD109" s="705"/>
      <c r="AE109" s="705"/>
      <c r="AF109" s="705"/>
      <c r="AG109" s="705"/>
      <c r="AH109" s="705"/>
      <c r="AI109" s="705"/>
      <c r="AJ109" s="705"/>
      <c r="AK109" s="705"/>
      <c r="AL109" s="705"/>
      <c r="AM109" s="705"/>
      <c r="AN109" s="705"/>
      <c r="AO109" s="705"/>
      <c r="AP109" s="705"/>
      <c r="AQ109" s="705"/>
      <c r="AR109" s="705"/>
      <c r="AS109" s="705"/>
      <c r="AT109" s="705"/>
      <c r="AU109" s="705"/>
      <c r="AV109" s="705"/>
      <c r="AW109" s="705"/>
      <c r="AX109" s="705"/>
      <c r="AY109" s="705"/>
      <c r="AZ109" s="705"/>
      <c r="BA109" s="705"/>
      <c r="BB109" s="705"/>
      <c r="BC109" s="705"/>
      <c r="BD109" s="705"/>
      <c r="BE109" s="705"/>
      <c r="BF109" s="705"/>
      <c r="BG109" s="705"/>
      <c r="BH109" s="705"/>
      <c r="BI109" s="705"/>
      <c r="BJ109" s="705"/>
      <c r="BK109" s="705"/>
      <c r="BL109" s="705"/>
      <c r="BM109" s="705"/>
      <c r="BN109" s="705"/>
      <c r="BO109" s="705"/>
      <c r="BP109" s="705"/>
      <c r="BQ109" s="705"/>
      <c r="BR109" s="705"/>
      <c r="BS109" s="705"/>
      <c r="BT109" s="705"/>
      <c r="BU109" s="705"/>
      <c r="BV109" s="705"/>
      <c r="BW109" s="705"/>
      <c r="BX109" s="705"/>
      <c r="BY109" s="705"/>
      <c r="BZ109" s="705"/>
      <c r="CA109" s="705"/>
      <c r="CB109" s="705"/>
      <c r="CC109" s="705"/>
      <c r="CD109" s="705"/>
      <c r="CE109" s="705"/>
      <c r="CF109" s="705"/>
      <c r="CG109" s="705"/>
      <c r="CH109" s="705"/>
      <c r="CI109" s="705"/>
      <c r="CJ109" s="705"/>
      <c r="CK109" s="705"/>
      <c r="CL109" s="705"/>
      <c r="CM109" s="705"/>
      <c r="CN109" s="705"/>
      <c r="CO109" s="705"/>
      <c r="CP109" s="705"/>
      <c r="CQ109" s="705"/>
      <c r="CR109" s="705"/>
      <c r="CS109" s="705"/>
      <c r="CT109" s="705"/>
      <c r="CU109" s="705"/>
      <c r="CV109" s="705"/>
      <c r="CW109" s="705"/>
      <c r="CX109" s="705"/>
      <c r="CY109" s="705"/>
      <c r="CZ109" s="705"/>
      <c r="DA109" s="705"/>
      <c r="DB109" s="705"/>
      <c r="DC109" s="705"/>
      <c r="DD109" s="705"/>
      <c r="DE109" s="705"/>
      <c r="DF109" s="705"/>
      <c r="DG109" s="705"/>
      <c r="DH109" s="705"/>
      <c r="DI109" s="705"/>
      <c r="DJ109" s="705"/>
      <c r="DK109" s="705"/>
      <c r="DL109" s="705"/>
      <c r="DM109" s="705"/>
      <c r="DN109" s="705"/>
      <c r="DO109" s="705"/>
      <c r="DP109" s="705"/>
      <c r="DQ109" s="705"/>
      <c r="DR109" s="705"/>
      <c r="DS109" s="705"/>
      <c r="DT109" s="705"/>
      <c r="DU109" s="705"/>
      <c r="DV109" s="705"/>
      <c r="DW109" s="705"/>
      <c r="DX109" s="705"/>
      <c r="DY109" s="705"/>
      <c r="DZ109" s="705"/>
      <c r="EA109" s="705"/>
      <c r="EB109" s="705"/>
      <c r="EC109" s="705"/>
      <c r="ED109" s="705"/>
      <c r="EE109" s="705"/>
      <c r="EF109" s="705"/>
      <c r="EG109" s="705"/>
      <c r="EH109" s="705"/>
      <c r="EI109" s="705"/>
      <c r="EJ109" s="705"/>
      <c r="EK109" s="705"/>
      <c r="EL109" s="705"/>
      <c r="EM109" s="705"/>
      <c r="EN109" s="705"/>
      <c r="EO109" s="705"/>
      <c r="EP109" s="705"/>
      <c r="EQ109" s="705"/>
      <c r="ER109" s="705"/>
      <c r="ES109" s="705"/>
      <c r="ET109" s="705"/>
      <c r="EU109" s="705"/>
      <c r="EV109" s="705"/>
      <c r="EW109" s="705"/>
      <c r="EX109" s="705"/>
      <c r="EY109" s="705"/>
      <c r="EZ109" s="705"/>
      <c r="FA109" s="705"/>
      <c r="FB109" s="705"/>
      <c r="FC109" s="705"/>
      <c r="FD109" s="705"/>
      <c r="FE109" s="705"/>
      <c r="FF109" s="705"/>
      <c r="FG109" s="705"/>
      <c r="FH109" s="705"/>
      <c r="FI109" s="705"/>
      <c r="FJ109" s="705"/>
      <c r="FK109" s="705"/>
      <c r="FL109" s="705"/>
      <c r="FM109" s="705"/>
      <c r="FN109" s="705"/>
      <c r="FO109" s="705"/>
      <c r="FP109" s="705"/>
      <c r="FQ109" s="705"/>
      <c r="FR109" s="705"/>
      <c r="FS109" s="705"/>
      <c r="FT109" s="705"/>
      <c r="FU109" s="705"/>
      <c r="FV109" s="705"/>
      <c r="FW109" s="705"/>
      <c r="FX109" s="705"/>
      <c r="FY109" s="705"/>
      <c r="FZ109" s="705"/>
      <c r="GA109" s="705"/>
      <c r="GB109" s="705"/>
      <c r="GC109" s="705"/>
      <c r="GD109" s="705"/>
      <c r="GE109" s="705"/>
      <c r="GF109" s="705"/>
      <c r="GG109" s="705"/>
      <c r="GH109" s="705"/>
      <c r="GI109" s="705"/>
      <c r="GJ109" s="705"/>
      <c r="GK109" s="705"/>
      <c r="GL109" s="705"/>
      <c r="GM109" s="705"/>
      <c r="GN109" s="705"/>
      <c r="GO109" s="705"/>
      <c r="GP109" s="705"/>
      <c r="GQ109" s="705"/>
      <c r="GR109" s="705"/>
      <c r="GS109" s="705"/>
      <c r="GT109" s="705"/>
      <c r="GU109" s="705"/>
      <c r="GV109" s="705"/>
      <c r="GW109" s="705"/>
      <c r="GX109" s="705"/>
      <c r="GY109" s="705"/>
      <c r="GZ109" s="705"/>
      <c r="HA109" s="705"/>
      <c r="HB109" s="705"/>
      <c r="HC109" s="705"/>
      <c r="HD109" s="705"/>
      <c r="HE109" s="705"/>
      <c r="HF109" s="705"/>
      <c r="HG109" s="705"/>
      <c r="HH109" s="705"/>
      <c r="HI109" s="705"/>
      <c r="HJ109" s="705"/>
      <c r="HK109" s="705"/>
      <c r="HL109" s="705"/>
      <c r="HM109" s="705"/>
      <c r="HN109" s="705"/>
      <c r="HO109" s="705"/>
      <c r="HP109" s="705"/>
      <c r="HQ109" s="705"/>
      <c r="HR109" s="705"/>
      <c r="HS109" s="705"/>
      <c r="HT109" s="705"/>
      <c r="HU109" s="705"/>
      <c r="HV109" s="705"/>
      <c r="HW109" s="705"/>
    </row>
    <row r="110" spans="1:231" ht="14.1" customHeight="1">
      <c r="F110" s="705"/>
      <c r="G110" s="705"/>
      <c r="H110" s="705"/>
      <c r="I110" s="705"/>
      <c r="K110" s="724"/>
      <c r="L110" s="704"/>
      <c r="M110" s="704"/>
      <c r="N110" s="704"/>
      <c r="O110" s="704"/>
      <c r="P110" s="704"/>
      <c r="Q110" s="704"/>
      <c r="R110" s="704"/>
      <c r="S110" s="704"/>
      <c r="T110" s="704"/>
      <c r="U110" s="704"/>
      <c r="V110" s="704"/>
      <c r="W110" s="704"/>
      <c r="X110" s="705"/>
      <c r="Y110" s="705"/>
      <c r="Z110" s="705"/>
      <c r="AA110" s="705"/>
      <c r="AB110" s="705"/>
      <c r="AC110" s="705"/>
      <c r="AD110" s="705"/>
      <c r="AE110" s="705"/>
      <c r="AF110" s="705"/>
      <c r="AG110" s="705"/>
      <c r="AH110" s="705"/>
      <c r="AI110" s="705"/>
      <c r="AJ110" s="705"/>
      <c r="AK110" s="705"/>
      <c r="AL110" s="705"/>
      <c r="AM110" s="705"/>
      <c r="AN110" s="705"/>
      <c r="AO110" s="705"/>
      <c r="AP110" s="705"/>
      <c r="AQ110" s="705"/>
      <c r="AR110" s="705"/>
      <c r="AS110" s="705"/>
      <c r="AT110" s="705"/>
      <c r="AU110" s="705"/>
      <c r="AV110" s="705"/>
      <c r="AW110" s="705"/>
      <c r="AX110" s="705"/>
      <c r="AY110" s="705"/>
      <c r="AZ110" s="705"/>
      <c r="BA110" s="705"/>
      <c r="BB110" s="705"/>
      <c r="BC110" s="705"/>
      <c r="BD110" s="705"/>
      <c r="BE110" s="705"/>
      <c r="BF110" s="705"/>
      <c r="BG110" s="705"/>
      <c r="BH110" s="705"/>
      <c r="BI110" s="705"/>
      <c r="BJ110" s="705"/>
      <c r="BK110" s="705"/>
      <c r="BL110" s="705"/>
      <c r="BM110" s="705"/>
      <c r="BN110" s="705"/>
      <c r="BO110" s="705"/>
      <c r="BP110" s="705"/>
      <c r="BQ110" s="705"/>
      <c r="BR110" s="705"/>
      <c r="BS110" s="705"/>
      <c r="BT110" s="705"/>
      <c r="BU110" s="705"/>
      <c r="BV110" s="705"/>
      <c r="BW110" s="705"/>
      <c r="BX110" s="705"/>
      <c r="BY110" s="705"/>
      <c r="BZ110" s="705"/>
      <c r="CA110" s="705"/>
      <c r="CB110" s="705"/>
      <c r="CC110" s="705"/>
      <c r="CD110" s="705"/>
      <c r="CE110" s="705"/>
      <c r="CF110" s="705"/>
      <c r="CG110" s="705"/>
      <c r="CH110" s="705"/>
      <c r="CI110" s="705"/>
      <c r="CJ110" s="705"/>
      <c r="CK110" s="705"/>
      <c r="CL110" s="705"/>
      <c r="CM110" s="705"/>
      <c r="CN110" s="705"/>
      <c r="CO110" s="705"/>
      <c r="CP110" s="705"/>
      <c r="CQ110" s="705"/>
      <c r="CR110" s="705"/>
      <c r="CS110" s="705"/>
      <c r="CT110" s="705"/>
      <c r="CU110" s="705"/>
      <c r="CV110" s="705"/>
      <c r="CW110" s="705"/>
      <c r="CX110" s="705"/>
      <c r="CY110" s="705"/>
      <c r="CZ110" s="705"/>
      <c r="DA110" s="705"/>
      <c r="DB110" s="705"/>
      <c r="DC110" s="705"/>
      <c r="DD110" s="705"/>
      <c r="DE110" s="705"/>
      <c r="DF110" s="705"/>
      <c r="DG110" s="705"/>
      <c r="DH110" s="705"/>
      <c r="DI110" s="705"/>
      <c r="DJ110" s="705"/>
      <c r="DK110" s="705"/>
      <c r="DL110" s="705"/>
      <c r="DM110" s="705"/>
      <c r="DN110" s="705"/>
      <c r="DO110" s="705"/>
      <c r="DP110" s="705"/>
      <c r="DQ110" s="705"/>
      <c r="DR110" s="705"/>
      <c r="DS110" s="705"/>
      <c r="DT110" s="705"/>
      <c r="DU110" s="705"/>
      <c r="DV110" s="705"/>
      <c r="DW110" s="705"/>
      <c r="DX110" s="705"/>
      <c r="DY110" s="705"/>
      <c r="DZ110" s="705"/>
      <c r="EA110" s="705"/>
      <c r="EB110" s="705"/>
      <c r="EC110" s="705"/>
      <c r="ED110" s="705"/>
      <c r="EE110" s="705"/>
      <c r="EF110" s="705"/>
      <c r="EG110" s="705"/>
      <c r="EH110" s="705"/>
      <c r="EI110" s="705"/>
      <c r="EJ110" s="705"/>
      <c r="EK110" s="705"/>
      <c r="EL110" s="705"/>
      <c r="EM110" s="705"/>
      <c r="EN110" s="705"/>
      <c r="EO110" s="705"/>
      <c r="EP110" s="705"/>
      <c r="EQ110" s="705"/>
      <c r="ER110" s="705"/>
      <c r="ES110" s="705"/>
      <c r="ET110" s="705"/>
      <c r="EU110" s="705"/>
      <c r="EV110" s="705"/>
      <c r="EW110" s="705"/>
      <c r="EX110" s="705"/>
      <c r="EY110" s="705"/>
      <c r="EZ110" s="705"/>
      <c r="FA110" s="705"/>
      <c r="FB110" s="705"/>
      <c r="FC110" s="705"/>
      <c r="FD110" s="705"/>
      <c r="FE110" s="705"/>
      <c r="FF110" s="705"/>
      <c r="FG110" s="705"/>
      <c r="FH110" s="705"/>
      <c r="FI110" s="705"/>
      <c r="FJ110" s="705"/>
      <c r="FK110" s="705"/>
      <c r="FL110" s="705"/>
      <c r="FM110" s="705"/>
      <c r="FN110" s="705"/>
      <c r="FO110" s="705"/>
      <c r="FP110" s="705"/>
      <c r="FQ110" s="705"/>
      <c r="FR110" s="705"/>
      <c r="FS110" s="705"/>
      <c r="FT110" s="705"/>
      <c r="FU110" s="705"/>
      <c r="FV110" s="705"/>
      <c r="FW110" s="705"/>
      <c r="FX110" s="705"/>
      <c r="FY110" s="705"/>
      <c r="FZ110" s="705"/>
      <c r="GA110" s="705"/>
      <c r="GB110" s="705"/>
      <c r="GC110" s="705"/>
      <c r="GD110" s="705"/>
      <c r="GE110" s="705"/>
      <c r="GF110" s="705"/>
      <c r="GG110" s="705"/>
      <c r="GH110" s="705"/>
      <c r="GI110" s="705"/>
      <c r="GJ110" s="705"/>
      <c r="GK110" s="705"/>
      <c r="GL110" s="705"/>
      <c r="GM110" s="705"/>
      <c r="GN110" s="705"/>
      <c r="GO110" s="705"/>
      <c r="GP110" s="705"/>
      <c r="GQ110" s="705"/>
      <c r="GR110" s="705"/>
      <c r="GS110" s="705"/>
      <c r="GT110" s="705"/>
      <c r="GU110" s="705"/>
      <c r="GV110" s="705"/>
      <c r="GW110" s="705"/>
      <c r="GX110" s="705"/>
      <c r="GY110" s="705"/>
      <c r="GZ110" s="705"/>
      <c r="HA110" s="705"/>
      <c r="HB110" s="705"/>
      <c r="HC110" s="705"/>
      <c r="HD110" s="705"/>
      <c r="HE110" s="705"/>
      <c r="HF110" s="705"/>
      <c r="HG110" s="705"/>
      <c r="HH110" s="705"/>
      <c r="HI110" s="705"/>
      <c r="HJ110" s="705"/>
      <c r="HK110" s="705"/>
      <c r="HL110" s="705"/>
      <c r="HM110" s="705"/>
      <c r="HN110" s="705"/>
      <c r="HO110" s="705"/>
      <c r="HP110" s="705"/>
      <c r="HQ110" s="705"/>
      <c r="HR110" s="705"/>
      <c r="HS110" s="705"/>
      <c r="HT110" s="705"/>
      <c r="HU110" s="705"/>
      <c r="HV110" s="705"/>
      <c r="HW110" s="705"/>
    </row>
  </sheetData>
  <mergeCells count="1">
    <mergeCell ref="A46:G46"/>
  </mergeCells>
  <printOptions horizontalCentered="1"/>
  <pageMargins left="0.5" right="0.5" top="1" bottom="1" header="0.5" footer="0.5"/>
  <pageSetup scale="62" orientation="landscape" r:id="rId1"/>
  <headerFooter alignWithMargins="0"/>
  <rowBreaks count="1" manualBreakCount="1">
    <brk id="47" max="9" man="1"/>
  </rowBreaks>
  <drawing r:id="rId2"/>
</worksheet>
</file>

<file path=xl/worksheets/sheet5.xml><?xml version="1.0" encoding="utf-8"?>
<worksheet xmlns="http://schemas.openxmlformats.org/spreadsheetml/2006/main" xmlns:r="http://schemas.openxmlformats.org/officeDocument/2006/relationships">
  <sheetPr codeName="Sheet4"/>
  <dimension ref="B1:AE54"/>
  <sheetViews>
    <sheetView zoomScaleNormal="100" workbookViewId="0">
      <selection activeCell="C19" sqref="C19"/>
    </sheetView>
  </sheetViews>
  <sheetFormatPr defaultColWidth="12.42578125" defaultRowHeight="12.75"/>
  <cols>
    <col min="1" max="1" width="11.28515625" style="266" customWidth="1"/>
    <col min="2" max="4" width="20.140625" style="266" customWidth="1"/>
    <col min="5" max="5" width="10.5703125" style="266" customWidth="1"/>
    <col min="6" max="6" width="12.42578125" style="266" customWidth="1"/>
    <col min="7" max="8" width="8.85546875" customWidth="1"/>
    <col min="9" max="27" width="12.42578125" style="266" customWidth="1"/>
    <col min="28" max="28" width="24.42578125" style="266" customWidth="1"/>
    <col min="29" max="16384" width="12.42578125" style="266"/>
  </cols>
  <sheetData>
    <row r="1" spans="2:31" ht="18">
      <c r="B1" s="267" t="s">
        <v>470</v>
      </c>
    </row>
    <row r="2" spans="2:31" ht="15.75">
      <c r="B2" s="14" t="s">
        <v>471</v>
      </c>
    </row>
    <row r="3" spans="2:31" ht="15.75">
      <c r="B3" s="14"/>
    </row>
    <row r="4" spans="2:31" ht="16.5" thickBot="1">
      <c r="B4" s="14"/>
    </row>
    <row r="5" spans="2:31">
      <c r="B5" s="268"/>
      <c r="C5" s="268"/>
      <c r="D5" s="268"/>
    </row>
    <row r="6" spans="2:31" ht="15.75">
      <c r="B6" s="269" t="s">
        <v>472</v>
      </c>
      <c r="C6" s="270"/>
      <c r="D6" s="271" t="s">
        <v>30</v>
      </c>
      <c r="AB6" s="290"/>
    </row>
    <row r="7" spans="2:31" ht="15">
      <c r="B7" s="272"/>
      <c r="C7" s="273"/>
      <c r="D7" s="274"/>
      <c r="F7" s="272"/>
      <c r="AA7" s="291"/>
      <c r="AB7" s="292"/>
    </row>
    <row r="8" spans="2:31">
      <c r="B8" s="272">
        <v>1998</v>
      </c>
      <c r="D8" s="812">
        <v>5414155539</v>
      </c>
      <c r="AA8" s="272">
        <v>1998</v>
      </c>
      <c r="AB8" s="279">
        <f t="shared" ref="AB8:AB19" si="0">AD8</f>
        <v>5.41</v>
      </c>
      <c r="AD8" s="279">
        <f t="shared" ref="AD8:AD20" si="1">ROUND(AE8,2)</f>
        <v>5.41</v>
      </c>
      <c r="AE8" s="279">
        <v>5.4141555390000002</v>
      </c>
    </row>
    <row r="9" spans="2:31">
      <c r="B9" s="272">
        <v>1999</v>
      </c>
      <c r="D9" s="276">
        <v>6091217783</v>
      </c>
      <c r="AA9" s="272">
        <v>1999</v>
      </c>
      <c r="AB9" s="279">
        <f t="shared" si="0"/>
        <v>6.09</v>
      </c>
      <c r="AD9" s="279">
        <f t="shared" si="1"/>
        <v>6.09</v>
      </c>
      <c r="AE9" s="279">
        <v>6.0912177830000003</v>
      </c>
    </row>
    <row r="10" spans="2:31">
      <c r="B10" s="272">
        <v>2000</v>
      </c>
      <c r="D10" s="276">
        <v>6552218036</v>
      </c>
      <c r="AA10" s="272">
        <v>2000</v>
      </c>
      <c r="AB10" s="279">
        <f t="shared" si="0"/>
        <v>6.55</v>
      </c>
      <c r="AD10" s="279">
        <f t="shared" si="1"/>
        <v>6.55</v>
      </c>
      <c r="AE10" s="279">
        <v>6.5522180360000002</v>
      </c>
    </row>
    <row r="11" spans="2:31">
      <c r="B11" s="272">
        <v>2001</v>
      </c>
      <c r="D11" s="276">
        <v>6371012545</v>
      </c>
      <c r="AA11" s="272">
        <v>2001</v>
      </c>
      <c r="AB11" s="279">
        <f t="shared" si="0"/>
        <v>6.37</v>
      </c>
      <c r="AD11" s="279">
        <f t="shared" si="1"/>
        <v>6.37</v>
      </c>
      <c r="AE11" s="279">
        <v>6.3710125450000001</v>
      </c>
    </row>
    <row r="12" spans="2:31">
      <c r="B12" s="272">
        <v>2002</v>
      </c>
      <c r="D12" s="276">
        <v>6437586719</v>
      </c>
      <c r="AA12" s="272">
        <v>2002</v>
      </c>
      <c r="AB12" s="279">
        <f t="shared" si="0"/>
        <v>6.44</v>
      </c>
      <c r="AD12" s="279">
        <f t="shared" si="1"/>
        <v>6.44</v>
      </c>
      <c r="AE12" s="279">
        <v>6.4375867189999996</v>
      </c>
    </row>
    <row r="13" spans="2:31">
      <c r="B13" s="272">
        <v>2003</v>
      </c>
      <c r="D13" s="275">
        <v>6816462132</v>
      </c>
      <c r="AA13" s="272">
        <v>2003</v>
      </c>
      <c r="AB13" s="279">
        <f t="shared" si="0"/>
        <v>6.82</v>
      </c>
      <c r="AD13" s="279">
        <f t="shared" si="1"/>
        <v>6.82</v>
      </c>
      <c r="AE13" s="279">
        <v>6.8164621319999998</v>
      </c>
    </row>
    <row r="14" spans="2:31">
      <c r="B14" s="272">
        <v>2004</v>
      </c>
      <c r="D14" s="275">
        <v>7358048877</v>
      </c>
      <c r="AA14" s="272">
        <v>2004</v>
      </c>
      <c r="AB14" s="279">
        <f t="shared" si="0"/>
        <v>7.36</v>
      </c>
      <c r="AD14" s="279">
        <f t="shared" si="1"/>
        <v>7.36</v>
      </c>
      <c r="AE14" s="279">
        <v>7.3580488769999999</v>
      </c>
    </row>
    <row r="15" spans="2:31">
      <c r="B15" s="272">
        <v>2005</v>
      </c>
      <c r="D15" s="275">
        <v>8414731881</v>
      </c>
      <c r="AA15" s="272">
        <v>2005</v>
      </c>
      <c r="AB15" s="279">
        <f t="shared" si="0"/>
        <v>8.41</v>
      </c>
      <c r="AD15" s="279">
        <f t="shared" si="1"/>
        <v>8.41</v>
      </c>
      <c r="AE15" s="279">
        <v>8.4147318809999998</v>
      </c>
    </row>
    <row r="16" spans="2:31">
      <c r="B16" s="272">
        <v>2006</v>
      </c>
      <c r="D16" s="275">
        <v>9132261251</v>
      </c>
      <c r="AA16" s="272">
        <v>2006</v>
      </c>
      <c r="AB16" s="279">
        <f t="shared" si="0"/>
        <v>9.1300000000000008</v>
      </c>
      <c r="AD16" s="279">
        <f t="shared" si="1"/>
        <v>9.1300000000000008</v>
      </c>
      <c r="AE16" s="279">
        <v>9.1322612509999992</v>
      </c>
    </row>
    <row r="17" spans="2:31">
      <c r="B17" s="272">
        <v>2007</v>
      </c>
      <c r="D17" s="275">
        <v>9601762403.6699944</v>
      </c>
      <c r="AA17" s="272">
        <v>2007</v>
      </c>
      <c r="AB17" s="279">
        <f t="shared" si="0"/>
        <v>9.6</v>
      </c>
      <c r="AD17" s="279">
        <f t="shared" si="1"/>
        <v>9.6</v>
      </c>
      <c r="AE17" s="279">
        <v>9.6017624036699942</v>
      </c>
    </row>
    <row r="18" spans="2:31">
      <c r="B18" s="272">
        <v>2008</v>
      </c>
      <c r="D18" s="275">
        <v>9201320075.0499992</v>
      </c>
      <c r="AA18" s="272">
        <v>2008</v>
      </c>
      <c r="AB18" s="279">
        <f t="shared" si="0"/>
        <v>9.1999999999999993</v>
      </c>
      <c r="AD18" s="279">
        <f t="shared" si="1"/>
        <v>9.1999999999999993</v>
      </c>
      <c r="AE18" s="279">
        <v>9.201320075049999</v>
      </c>
    </row>
    <row r="19" spans="2:31">
      <c r="B19" s="272">
        <v>2009</v>
      </c>
      <c r="D19" s="275">
        <v>8838405972.0000038</v>
      </c>
      <c r="E19" s="277"/>
      <c r="F19" s="277"/>
      <c r="AA19" s="272">
        <v>2009</v>
      </c>
      <c r="AB19" s="279">
        <f t="shared" si="0"/>
        <v>8.84</v>
      </c>
      <c r="AD19" s="279">
        <f t="shared" si="1"/>
        <v>8.84</v>
      </c>
      <c r="AE19" s="279">
        <v>8.8384059720000003</v>
      </c>
    </row>
    <row r="20" spans="2:31">
      <c r="B20" s="272">
        <v>2010</v>
      </c>
      <c r="D20" s="275">
        <v>9537700528</v>
      </c>
      <c r="E20" s="277"/>
      <c r="F20" s="277"/>
      <c r="AA20" s="272">
        <v>2010</v>
      </c>
      <c r="AB20" s="279">
        <f>AD20</f>
        <v>9.5399999999999991</v>
      </c>
      <c r="AD20" s="279">
        <f t="shared" si="1"/>
        <v>9.5399999999999991</v>
      </c>
      <c r="AE20" s="279">
        <f>D20/1000000000</f>
        <v>9.5377005280000002</v>
      </c>
    </row>
    <row r="21" spans="2:31">
      <c r="C21" s="278"/>
      <c r="F21" s="272"/>
      <c r="AA21" s="279"/>
    </row>
    <row r="22" spans="2:31">
      <c r="B22" s="9" t="s">
        <v>27</v>
      </c>
      <c r="C22" s="278"/>
      <c r="F22" s="272"/>
      <c r="AA22" s="279"/>
    </row>
    <row r="23" spans="2:31">
      <c r="B23" s="9" t="s">
        <v>473</v>
      </c>
      <c r="C23" s="278"/>
      <c r="F23" s="272"/>
      <c r="AA23" s="279"/>
    </row>
    <row r="24" spans="2:31">
      <c r="B24" s="9"/>
      <c r="C24" s="278"/>
      <c r="F24" s="272"/>
      <c r="AA24" s="279"/>
    </row>
    <row r="25" spans="2:31">
      <c r="B25" s="9"/>
      <c r="C25" s="278"/>
      <c r="F25" s="272"/>
      <c r="AA25" s="279"/>
    </row>
    <row r="26" spans="2:31">
      <c r="B26" s="272"/>
      <c r="C26" s="279"/>
      <c r="F26" s="272"/>
      <c r="AA26" s="279"/>
    </row>
    <row r="27" spans="2:31">
      <c r="B27" s="272"/>
      <c r="C27" s="279"/>
    </row>
    <row r="28" spans="2:31">
      <c r="B28" s="272"/>
      <c r="C28" s="279"/>
    </row>
    <row r="29" spans="2:31">
      <c r="B29" s="272"/>
      <c r="C29" s="279"/>
    </row>
    <row r="30" spans="2:31">
      <c r="B30" s="272"/>
      <c r="C30" s="279"/>
    </row>
    <row r="31" spans="2:31">
      <c r="B31" s="272"/>
      <c r="C31" s="279"/>
    </row>
    <row r="32" spans="2:31">
      <c r="B32" s="272"/>
      <c r="C32" s="279"/>
    </row>
    <row r="33" spans="2:5">
      <c r="B33" s="272"/>
      <c r="C33" s="279"/>
    </row>
    <row r="34" spans="2:5">
      <c r="B34" s="272"/>
      <c r="C34" s="279"/>
    </row>
    <row r="35" spans="2:5">
      <c r="B35" s="272"/>
      <c r="C35" s="279"/>
    </row>
    <row r="36" spans="2:5">
      <c r="B36" s="272"/>
      <c r="C36" s="279"/>
    </row>
    <row r="37" spans="2:5">
      <c r="B37" s="272"/>
      <c r="C37" s="279"/>
    </row>
    <row r="38" spans="2:5">
      <c r="B38" s="272"/>
      <c r="C38" s="279"/>
    </row>
    <row r="39" spans="2:5">
      <c r="E39" s="280"/>
    </row>
    <row r="52" spans="2:5" ht="15.75">
      <c r="B52" s="10"/>
      <c r="C52" s="10"/>
    </row>
    <row r="53" spans="2:5" ht="15.75">
      <c r="B53" s="5"/>
      <c r="C53" s="5"/>
      <c r="D53" s="5"/>
      <c r="E53" s="55"/>
    </row>
    <row r="54" spans="2:5" ht="15.75">
      <c r="D54" s="5"/>
      <c r="E54" s="5"/>
    </row>
  </sheetData>
  <printOptions horizontalCentered="1"/>
  <pageMargins left="0.5" right="0.5" top="1" bottom="1" header="0.5" footer="0.5"/>
  <pageSetup scale="78" firstPageNumber="3" orientation="landscape" useFirstPageNumber="1" r:id="rId1"/>
  <drawing r:id="rId2"/>
</worksheet>
</file>

<file path=xl/worksheets/sheet6.xml><?xml version="1.0" encoding="utf-8"?>
<worksheet xmlns="http://schemas.openxmlformats.org/spreadsheetml/2006/main" xmlns:r="http://schemas.openxmlformats.org/officeDocument/2006/relationships">
  <sheetPr codeName="Sheet5"/>
  <dimension ref="A1:AU49"/>
  <sheetViews>
    <sheetView topLeftCell="A23" zoomScaleNormal="100" workbookViewId="0">
      <selection activeCell="E42" sqref="E42"/>
    </sheetView>
  </sheetViews>
  <sheetFormatPr defaultColWidth="9.140625" defaultRowHeight="12.75"/>
  <cols>
    <col min="1" max="1" width="12.7109375" style="281" customWidth="1"/>
    <col min="2" max="2" width="9.7109375" style="281" customWidth="1"/>
    <col min="3" max="3" width="9.5703125" style="281" customWidth="1"/>
    <col min="4" max="4" width="22" style="281" bestFit="1" customWidth="1"/>
    <col min="5" max="5" width="16.7109375" style="281" customWidth="1"/>
    <col min="6" max="6" width="20.85546875" style="281" bestFit="1" customWidth="1"/>
    <col min="7" max="7" width="16.42578125" style="281" customWidth="1"/>
    <col min="8" max="8" width="18.28515625" style="281" customWidth="1"/>
    <col min="9" max="9" width="20" style="281" customWidth="1"/>
    <col min="10" max="10" width="17.5703125" style="281" customWidth="1"/>
    <col min="11" max="11" width="13.42578125" style="281" customWidth="1"/>
    <col min="12" max="16384" width="9.140625" style="281"/>
  </cols>
  <sheetData>
    <row r="1" spans="1:12" ht="18">
      <c r="A1" s="796" t="s">
        <v>499</v>
      </c>
      <c r="B1" s="796"/>
      <c r="C1" s="796"/>
      <c r="D1" s="763"/>
      <c r="E1" s="765"/>
      <c r="F1" s="763"/>
      <c r="G1" s="763"/>
      <c r="H1" s="763"/>
      <c r="I1" s="763"/>
      <c r="J1" s="764"/>
      <c r="K1" s="763"/>
      <c r="L1" s="763"/>
    </row>
    <row r="2" spans="1:12" ht="15.75">
      <c r="A2" s="1027" t="s">
        <v>500</v>
      </c>
      <c r="B2" s="1027"/>
      <c r="C2" s="1027"/>
      <c r="D2" s="1027"/>
      <c r="E2" s="1027"/>
      <c r="F2" s="1027"/>
      <c r="G2" s="1027"/>
      <c r="H2" s="1027"/>
      <c r="I2" s="1027"/>
      <c r="J2" s="1027"/>
      <c r="K2" s="1027"/>
      <c r="L2" s="1027"/>
    </row>
    <row r="3" spans="1:12" ht="15" customHeight="1" thickBot="1">
      <c r="A3" s="815" t="s">
        <v>1063</v>
      </c>
      <c r="B3" s="775"/>
      <c r="C3" s="775"/>
      <c r="D3" s="763"/>
      <c r="E3" s="765"/>
      <c r="F3" s="763"/>
      <c r="G3" s="763"/>
      <c r="H3" s="763"/>
      <c r="I3" s="763"/>
      <c r="J3" s="764"/>
      <c r="K3" s="763"/>
      <c r="L3" s="763"/>
    </row>
    <row r="4" spans="1:12" ht="15" customHeight="1">
      <c r="A4" s="288"/>
      <c r="B4" s="288"/>
      <c r="C4" s="288"/>
      <c r="D4" s="288"/>
      <c r="E4" s="795"/>
      <c r="F4" s="794" t="s">
        <v>501</v>
      </c>
      <c r="G4" s="794" t="s">
        <v>502</v>
      </c>
      <c r="H4" s="794" t="s">
        <v>25</v>
      </c>
      <c r="I4" s="795"/>
      <c r="J4" s="795"/>
      <c r="K4" s="794" t="s">
        <v>503</v>
      </c>
    </row>
    <row r="5" spans="1:12" ht="15.75">
      <c r="B5" s="793" t="s">
        <v>476</v>
      </c>
      <c r="C5" s="779"/>
      <c r="D5" s="793" t="s">
        <v>504</v>
      </c>
      <c r="E5" s="793" t="s">
        <v>505</v>
      </c>
      <c r="F5" s="767" t="s">
        <v>506</v>
      </c>
      <c r="G5" s="767" t="s">
        <v>507</v>
      </c>
      <c r="H5" s="767" t="s">
        <v>506</v>
      </c>
      <c r="I5" s="767" t="s">
        <v>508</v>
      </c>
      <c r="J5" s="767" t="s">
        <v>509</v>
      </c>
      <c r="K5" s="767" t="s">
        <v>31</v>
      </c>
    </row>
    <row r="6" spans="1:12" s="294" customFormat="1" ht="15.75">
      <c r="A6" s="792"/>
      <c r="B6" s="790" t="s">
        <v>479</v>
      </c>
      <c r="C6" s="791"/>
      <c r="D6" s="790" t="s">
        <v>510</v>
      </c>
      <c r="E6" s="790" t="s">
        <v>511</v>
      </c>
      <c r="F6" s="790" t="s">
        <v>511</v>
      </c>
      <c r="G6" s="790" t="s">
        <v>511</v>
      </c>
      <c r="H6" s="790" t="s">
        <v>511</v>
      </c>
      <c r="I6" s="790" t="s">
        <v>32</v>
      </c>
      <c r="J6" s="790" t="s">
        <v>512</v>
      </c>
      <c r="K6" s="790" t="s">
        <v>513</v>
      </c>
    </row>
    <row r="7" spans="1:12">
      <c r="A7" s="282"/>
      <c r="B7" s="282"/>
      <c r="C7" s="282"/>
      <c r="D7" s="282"/>
      <c r="E7" s="282"/>
      <c r="F7" s="282"/>
      <c r="G7" s="282"/>
      <c r="H7" s="282"/>
      <c r="I7" s="282"/>
      <c r="J7" s="282"/>
      <c r="K7" s="282"/>
    </row>
    <row r="8" spans="1:12" ht="15" customHeight="1">
      <c r="A8" s="788">
        <v>0</v>
      </c>
      <c r="B8" s="787" t="s">
        <v>488</v>
      </c>
      <c r="C8" s="789">
        <v>999</v>
      </c>
      <c r="D8" s="785">
        <v>21163302.142900005</v>
      </c>
      <c r="E8" s="785">
        <v>250087019.80000007</v>
      </c>
      <c r="F8" s="785">
        <v>5603485082.1200018</v>
      </c>
      <c r="G8" s="785">
        <v>300923392.09999996</v>
      </c>
      <c r="H8" s="785">
        <v>5904408474.2200022</v>
      </c>
      <c r="I8" s="785">
        <v>3385764.5099999979</v>
      </c>
      <c r="J8" s="785">
        <v>67810.759999999995</v>
      </c>
      <c r="K8" s="781">
        <f t="shared" ref="K8:K32" si="0">J8/I8</f>
        <v>2.0028197412938219E-2</v>
      </c>
    </row>
    <row r="9" spans="1:12" ht="15" customHeight="1">
      <c r="A9" s="788">
        <v>1000</v>
      </c>
      <c r="B9" s="787" t="s">
        <v>488</v>
      </c>
      <c r="C9" s="789">
        <v>1999</v>
      </c>
      <c r="D9" s="784">
        <v>75555273.697700053</v>
      </c>
      <c r="E9" s="784">
        <v>65508854.24999997</v>
      </c>
      <c r="F9" s="784">
        <v>170871516.21999997</v>
      </c>
      <c r="G9" s="784">
        <v>91904179.559999958</v>
      </c>
      <c r="H9" s="784">
        <v>262775695.77999991</v>
      </c>
      <c r="I9" s="784">
        <v>8092526.6399999997</v>
      </c>
      <c r="J9" s="784">
        <v>161869.97000000006</v>
      </c>
      <c r="K9" s="781">
        <f t="shared" si="0"/>
        <v>2.0002401870375563E-2</v>
      </c>
    </row>
    <row r="10" spans="1:12" ht="15" customHeight="1">
      <c r="A10" s="788">
        <v>2000</v>
      </c>
      <c r="B10" s="787" t="s">
        <v>488</v>
      </c>
      <c r="C10" s="789">
        <v>2999</v>
      </c>
      <c r="D10" s="784">
        <v>136195776.82860017</v>
      </c>
      <c r="E10" s="784">
        <v>70577266.969999969</v>
      </c>
      <c r="F10" s="784">
        <v>157507770.34000003</v>
      </c>
      <c r="G10" s="784">
        <v>109861624.59000011</v>
      </c>
      <c r="H10" s="784">
        <v>267369394.93000013</v>
      </c>
      <c r="I10" s="784">
        <v>10980790.960000003</v>
      </c>
      <c r="J10" s="784">
        <v>219611.57000000004</v>
      </c>
      <c r="K10" s="781">
        <f t="shared" si="0"/>
        <v>1.9999613033340177E-2</v>
      </c>
    </row>
    <row r="11" spans="1:12" ht="15" customHeight="1">
      <c r="A11" s="788">
        <v>3000</v>
      </c>
      <c r="B11" s="787" t="s">
        <v>488</v>
      </c>
      <c r="C11" s="789">
        <v>3999</v>
      </c>
      <c r="D11" s="784">
        <v>196766815.81740004</v>
      </c>
      <c r="E11" s="784">
        <v>73622467.820000082</v>
      </c>
      <c r="F11" s="784">
        <v>143630671.36000004</v>
      </c>
      <c r="G11" s="784">
        <v>123348986.79999994</v>
      </c>
      <c r="H11" s="784">
        <v>266979658.15999997</v>
      </c>
      <c r="I11" s="784">
        <v>13142084.229999997</v>
      </c>
      <c r="J11" s="784">
        <v>267721.23</v>
      </c>
      <c r="K11" s="781">
        <f t="shared" si="0"/>
        <v>2.0371291593829638E-2</v>
      </c>
    </row>
    <row r="12" spans="1:12" ht="15" customHeight="1">
      <c r="A12" s="788">
        <v>4000</v>
      </c>
      <c r="B12" s="787" t="s">
        <v>488</v>
      </c>
      <c r="C12" s="789">
        <v>4999</v>
      </c>
      <c r="D12" s="784">
        <v>251016930.97379979</v>
      </c>
      <c r="E12" s="784">
        <v>74301082.180000037</v>
      </c>
      <c r="F12" s="784">
        <v>138016644.27000001</v>
      </c>
      <c r="G12" s="784">
        <v>128825599</v>
      </c>
      <c r="H12" s="784">
        <v>266842243.27000001</v>
      </c>
      <c r="I12" s="784">
        <v>14557297.369999995</v>
      </c>
      <c r="J12" s="784">
        <v>317353.15000000002</v>
      </c>
      <c r="K12" s="781">
        <f t="shared" si="0"/>
        <v>2.1800279401725249E-2</v>
      </c>
    </row>
    <row r="13" spans="1:12" ht="15" customHeight="1">
      <c r="A13" s="788">
        <v>5000</v>
      </c>
      <c r="B13" s="787" t="s">
        <v>488</v>
      </c>
      <c r="C13" s="789">
        <v>5999</v>
      </c>
      <c r="D13" s="784">
        <v>305330820.46850008</v>
      </c>
      <c r="E13" s="784">
        <v>75644108.850000009</v>
      </c>
      <c r="F13" s="784">
        <v>112657229.19999999</v>
      </c>
      <c r="G13" s="784">
        <v>133513084.49999993</v>
      </c>
      <c r="H13" s="784">
        <v>246170313.69999993</v>
      </c>
      <c r="I13" s="784">
        <v>15747867.440000003</v>
      </c>
      <c r="J13" s="784">
        <v>368790.35</v>
      </c>
      <c r="K13" s="781">
        <f t="shared" si="0"/>
        <v>2.3418431187911998E-2</v>
      </c>
    </row>
    <row r="14" spans="1:12" ht="15" customHeight="1">
      <c r="A14" s="788">
        <v>6000</v>
      </c>
      <c r="B14" s="787" t="s">
        <v>488</v>
      </c>
      <c r="C14" s="789">
        <v>6999</v>
      </c>
      <c r="D14" s="784">
        <v>359624098.32860005</v>
      </c>
      <c r="E14" s="784">
        <v>77447041.200000003</v>
      </c>
      <c r="F14" s="784">
        <v>118158827.42</v>
      </c>
      <c r="G14" s="784">
        <v>139202292.5</v>
      </c>
      <c r="H14" s="784">
        <v>257361119.92000002</v>
      </c>
      <c r="I14" s="784">
        <v>16124939.060000002</v>
      </c>
      <c r="J14" s="784">
        <v>415434.59000000008</v>
      </c>
      <c r="K14" s="781">
        <f t="shared" si="0"/>
        <v>2.5763482792349853E-2</v>
      </c>
    </row>
    <row r="15" spans="1:12" ht="15" customHeight="1">
      <c r="A15" s="788">
        <v>7000</v>
      </c>
      <c r="B15" s="787" t="s">
        <v>488</v>
      </c>
      <c r="C15" s="789">
        <v>7999</v>
      </c>
      <c r="D15" s="784">
        <v>410256752.71079993</v>
      </c>
      <c r="E15" s="784">
        <v>79493739.290000021</v>
      </c>
      <c r="F15" s="784">
        <v>102266118.11</v>
      </c>
      <c r="G15" s="784">
        <v>143233127.19999999</v>
      </c>
      <c r="H15" s="784">
        <v>245499245.31</v>
      </c>
      <c r="I15" s="784">
        <v>18130402.829999998</v>
      </c>
      <c r="J15" s="784">
        <v>515203.16</v>
      </c>
      <c r="K15" s="781">
        <f t="shared" si="0"/>
        <v>2.8416531327561244E-2</v>
      </c>
    </row>
    <row r="16" spans="1:12" ht="15" customHeight="1">
      <c r="A16" s="788">
        <v>8000</v>
      </c>
      <c r="B16" s="787" t="s">
        <v>488</v>
      </c>
      <c r="C16" s="789">
        <v>8999</v>
      </c>
      <c r="D16" s="784">
        <v>464973051.19969964</v>
      </c>
      <c r="E16" s="784">
        <v>81578297.940000013</v>
      </c>
      <c r="F16" s="784">
        <v>89153038.090000004</v>
      </c>
      <c r="G16" s="784">
        <v>148252944.60000002</v>
      </c>
      <c r="H16" s="784">
        <v>237405982.69000003</v>
      </c>
      <c r="I16" s="784">
        <v>17189711.770000007</v>
      </c>
      <c r="J16" s="784">
        <v>526902.97000000009</v>
      </c>
      <c r="K16" s="781">
        <f t="shared" si="0"/>
        <v>3.0652228324128547E-2</v>
      </c>
    </row>
    <row r="17" spans="1:11" ht="15" customHeight="1">
      <c r="A17" s="788">
        <v>9000</v>
      </c>
      <c r="B17" s="787" t="s">
        <v>488</v>
      </c>
      <c r="C17" s="789">
        <v>9999</v>
      </c>
      <c r="D17" s="784">
        <v>538038207.30089974</v>
      </c>
      <c r="E17" s="784">
        <v>88550711.220000088</v>
      </c>
      <c r="F17" s="784">
        <v>112489249.11000003</v>
      </c>
      <c r="G17" s="784">
        <v>158182907.69999999</v>
      </c>
      <c r="H17" s="784">
        <v>270672156.81</v>
      </c>
      <c r="I17" s="784">
        <v>19408253.469999999</v>
      </c>
      <c r="J17" s="784">
        <v>632977.12000000034</v>
      </c>
      <c r="K17" s="781">
        <f t="shared" si="0"/>
        <v>3.2613811488932519E-2</v>
      </c>
    </row>
    <row r="18" spans="1:11" ht="15" customHeight="1">
      <c r="A18" s="788">
        <v>10000</v>
      </c>
      <c r="B18" s="787" t="s">
        <v>488</v>
      </c>
      <c r="C18" s="789">
        <v>10999</v>
      </c>
      <c r="D18" s="784">
        <v>569220690.4768002</v>
      </c>
      <c r="E18" s="784">
        <v>86940438.100000039</v>
      </c>
      <c r="F18" s="784">
        <v>75383236.730000004</v>
      </c>
      <c r="G18" s="784">
        <v>154406009.19999999</v>
      </c>
      <c r="H18" s="784">
        <v>229789245.93000001</v>
      </c>
      <c r="I18" s="784">
        <v>18560989.260000002</v>
      </c>
      <c r="J18" s="784">
        <v>634634.47</v>
      </c>
      <c r="K18" s="781">
        <f t="shared" si="0"/>
        <v>3.4191845117203627E-2</v>
      </c>
    </row>
    <row r="19" spans="1:11" ht="15" customHeight="1">
      <c r="A19" s="788">
        <v>11000</v>
      </c>
      <c r="B19" s="787" t="s">
        <v>488</v>
      </c>
      <c r="C19" s="789">
        <v>11999</v>
      </c>
      <c r="D19" s="784">
        <v>606538009.42880058</v>
      </c>
      <c r="E19" s="784">
        <v>86891848.23999992</v>
      </c>
      <c r="F19" s="784">
        <v>82822600.059999987</v>
      </c>
      <c r="G19" s="784">
        <v>154399412.60000005</v>
      </c>
      <c r="H19" s="784">
        <v>237222012.66000003</v>
      </c>
      <c r="I19" s="784">
        <v>111283336.69000001</v>
      </c>
      <c r="J19" s="784">
        <v>3676073.2899999977</v>
      </c>
      <c r="K19" s="781">
        <f t="shared" si="0"/>
        <v>3.3033456754090404E-2</v>
      </c>
    </row>
    <row r="20" spans="1:11" ht="15" customHeight="1">
      <c r="A20" s="788">
        <v>12000</v>
      </c>
      <c r="B20" s="787" t="s">
        <v>488</v>
      </c>
      <c r="C20" s="789">
        <v>12999</v>
      </c>
      <c r="D20" s="784">
        <v>656502756.55839968</v>
      </c>
      <c r="E20" s="784">
        <v>92176920.179999992</v>
      </c>
      <c r="F20" s="784">
        <v>109855104.89</v>
      </c>
      <c r="G20" s="784">
        <v>158607869.29999992</v>
      </c>
      <c r="H20" s="784">
        <v>268462974.18999994</v>
      </c>
      <c r="I20" s="784">
        <v>310722191.7100001</v>
      </c>
      <c r="J20" s="784">
        <v>10531465.790000003</v>
      </c>
      <c r="K20" s="781">
        <f t="shared" si="0"/>
        <v>3.3893510251205738E-2</v>
      </c>
    </row>
    <row r="21" spans="1:11" ht="15" customHeight="1">
      <c r="A21" s="788">
        <v>13000</v>
      </c>
      <c r="B21" s="787" t="s">
        <v>488</v>
      </c>
      <c r="C21" s="789">
        <v>13999</v>
      </c>
      <c r="D21" s="784">
        <v>709709100.51350057</v>
      </c>
      <c r="E21" s="784">
        <v>93918028.730000034</v>
      </c>
      <c r="F21" s="784">
        <v>89528948.049999997</v>
      </c>
      <c r="G21" s="784">
        <v>159781481.59999993</v>
      </c>
      <c r="H21" s="784">
        <v>249310429.64999992</v>
      </c>
      <c r="I21" s="784">
        <v>342003851.38999987</v>
      </c>
      <c r="J21" s="784">
        <v>12152801.599999996</v>
      </c>
      <c r="K21" s="781">
        <f t="shared" si="0"/>
        <v>3.5534107439455995E-2</v>
      </c>
    </row>
    <row r="22" spans="1:11" ht="15" customHeight="1">
      <c r="A22" s="788">
        <v>14000</v>
      </c>
      <c r="B22" s="787" t="s">
        <v>488</v>
      </c>
      <c r="C22" s="789">
        <v>14999</v>
      </c>
      <c r="D22" s="784">
        <v>737146870.12139988</v>
      </c>
      <c r="E22" s="784">
        <v>91158486.980000019</v>
      </c>
      <c r="F22" s="784">
        <v>103068668.03</v>
      </c>
      <c r="G22" s="784">
        <v>155619888.70000011</v>
      </c>
      <c r="H22" s="784">
        <v>258688556.73000011</v>
      </c>
      <c r="I22" s="784">
        <v>362181314.88000023</v>
      </c>
      <c r="J22" s="784">
        <v>13365196.759999998</v>
      </c>
      <c r="K22" s="781">
        <f t="shared" si="0"/>
        <v>3.6901949965111321E-2</v>
      </c>
    </row>
    <row r="23" spans="1:11" ht="15" customHeight="1">
      <c r="A23" s="788">
        <v>15000</v>
      </c>
      <c r="B23" s="787" t="s">
        <v>488</v>
      </c>
      <c r="C23" s="789">
        <v>19999</v>
      </c>
      <c r="D23" s="784">
        <v>4288032257.2977023</v>
      </c>
      <c r="E23" s="784">
        <v>449497974.21000028</v>
      </c>
      <c r="F23" s="784">
        <v>507995903.10999984</v>
      </c>
      <c r="G23" s="784">
        <v>753948709.49999976</v>
      </c>
      <c r="H23" s="784">
        <v>1261944612.6099997</v>
      </c>
      <c r="I23" s="784">
        <v>2180589178.2499995</v>
      </c>
      <c r="J23" s="784">
        <v>86518295.50999999</v>
      </c>
      <c r="K23" s="781">
        <f t="shared" si="0"/>
        <v>3.9676568320601319E-2</v>
      </c>
    </row>
    <row r="24" spans="1:11" ht="15" customHeight="1">
      <c r="A24" s="788">
        <v>20000</v>
      </c>
      <c r="B24" s="787" t="s">
        <v>488</v>
      </c>
      <c r="C24" s="789">
        <v>24999</v>
      </c>
      <c r="D24" s="784">
        <v>5095127660.4492006</v>
      </c>
      <c r="E24" s="784">
        <v>432337637.4399997</v>
      </c>
      <c r="F24" s="784">
        <v>649754840.75999975</v>
      </c>
      <c r="G24" s="784">
        <v>688789224.29999983</v>
      </c>
      <c r="H24" s="784">
        <v>1338544065.0599995</v>
      </c>
      <c r="I24" s="784">
        <v>2788222209.3699989</v>
      </c>
      <c r="J24" s="784">
        <v>118515968.58000006</v>
      </c>
      <c r="K24" s="781">
        <f t="shared" si="0"/>
        <v>4.2505926601445025E-2</v>
      </c>
    </row>
    <row r="25" spans="1:11" ht="15" customHeight="1">
      <c r="A25" s="788">
        <v>25000</v>
      </c>
      <c r="B25" s="787" t="s">
        <v>488</v>
      </c>
      <c r="C25" s="789">
        <v>29999</v>
      </c>
      <c r="D25" s="784">
        <v>5579463634.5648041</v>
      </c>
      <c r="E25" s="784">
        <v>393556076.71999997</v>
      </c>
      <c r="F25" s="784">
        <v>808795631.47999978</v>
      </c>
      <c r="G25" s="784">
        <v>577336115.60000002</v>
      </c>
      <c r="H25" s="784">
        <v>1386131747.0799999</v>
      </c>
      <c r="I25" s="784">
        <v>3534370139.4599996</v>
      </c>
      <c r="J25" s="784">
        <v>157081805.48999998</v>
      </c>
      <c r="K25" s="781">
        <f t="shared" si="0"/>
        <v>4.4444073283733607E-2</v>
      </c>
    </row>
    <row r="26" spans="1:11" ht="15" customHeight="1">
      <c r="A26" s="788">
        <v>30000</v>
      </c>
      <c r="B26" s="787" t="s">
        <v>488</v>
      </c>
      <c r="C26" s="789">
        <v>34999</v>
      </c>
      <c r="D26" s="784">
        <v>5939235792.2847023</v>
      </c>
      <c r="E26" s="784">
        <v>355770004.6000002</v>
      </c>
      <c r="F26" s="784">
        <v>981125271.13999987</v>
      </c>
      <c r="G26" s="784">
        <v>498772617.00000024</v>
      </c>
      <c r="H26" s="784">
        <v>1479897888.1400001</v>
      </c>
      <c r="I26" s="784">
        <v>3884652185.5800018</v>
      </c>
      <c r="J26" s="784">
        <v>179857101.7899999</v>
      </c>
      <c r="K26" s="781">
        <f t="shared" si="0"/>
        <v>4.6299409367365575E-2</v>
      </c>
    </row>
    <row r="27" spans="1:11" ht="15" customHeight="1">
      <c r="A27" s="788">
        <v>35000</v>
      </c>
      <c r="B27" s="787" t="s">
        <v>488</v>
      </c>
      <c r="C27" s="789">
        <v>39999</v>
      </c>
      <c r="D27" s="784">
        <v>6077248693.0283022</v>
      </c>
      <c r="E27" s="784">
        <v>316490321.48000008</v>
      </c>
      <c r="F27" s="784">
        <v>932743136.33999991</v>
      </c>
      <c r="G27" s="784">
        <v>415909069.0999999</v>
      </c>
      <c r="H27" s="784">
        <v>1348652205.4399998</v>
      </c>
      <c r="I27" s="784">
        <v>4101191131.2799993</v>
      </c>
      <c r="J27" s="784">
        <v>194742816.38000003</v>
      </c>
      <c r="K27" s="781">
        <f t="shared" si="0"/>
        <v>4.7484452722694727E-2</v>
      </c>
    </row>
    <row r="28" spans="1:11" ht="15" customHeight="1">
      <c r="A28" s="788">
        <v>40000</v>
      </c>
      <c r="B28" s="787" t="s">
        <v>488</v>
      </c>
      <c r="C28" s="789">
        <v>44999</v>
      </c>
      <c r="D28" s="784">
        <v>6125341436.5997019</v>
      </c>
      <c r="E28" s="784">
        <v>282765814.60999984</v>
      </c>
      <c r="F28" s="784">
        <v>989618302.04999995</v>
      </c>
      <c r="G28" s="784">
        <v>351240061.29999983</v>
      </c>
      <c r="H28" s="784">
        <v>1340858363.3499999</v>
      </c>
      <c r="I28" s="784">
        <v>4221186388.98</v>
      </c>
      <c r="J28" s="784">
        <v>204544971.36000031</v>
      </c>
      <c r="K28" s="781">
        <f t="shared" si="0"/>
        <v>4.8456749480192032E-2</v>
      </c>
    </row>
    <row r="29" spans="1:11" ht="15" customHeight="1">
      <c r="A29" s="788">
        <v>45000</v>
      </c>
      <c r="B29" s="787" t="s">
        <v>488</v>
      </c>
      <c r="C29" s="789">
        <v>49999</v>
      </c>
      <c r="D29" s="784">
        <v>6028991963.4055023</v>
      </c>
      <c r="E29" s="784">
        <v>254453277.94999999</v>
      </c>
      <c r="F29" s="784">
        <v>997658217.86999989</v>
      </c>
      <c r="G29" s="784">
        <v>289414006.0999999</v>
      </c>
      <c r="H29" s="784">
        <v>1287072223.9699998</v>
      </c>
      <c r="I29" s="784">
        <v>4244992942.6800008</v>
      </c>
      <c r="J29" s="784">
        <v>208195658.01999998</v>
      </c>
      <c r="K29" s="781">
        <f t="shared" si="0"/>
        <v>4.9044995087449861E-2</v>
      </c>
    </row>
    <row r="30" spans="1:11" ht="15" customHeight="1">
      <c r="A30" s="788">
        <v>50000</v>
      </c>
      <c r="B30" s="787" t="s">
        <v>488</v>
      </c>
      <c r="C30" s="789">
        <v>74999</v>
      </c>
      <c r="D30" s="784">
        <v>29140449036.874451</v>
      </c>
      <c r="E30" s="784">
        <v>1026132521.1999995</v>
      </c>
      <c r="F30" s="784">
        <v>4789346724.130003</v>
      </c>
      <c r="G30" s="784">
        <v>919400569.99999952</v>
      </c>
      <c r="H30" s="784">
        <v>5708747294.130003</v>
      </c>
      <c r="I30" s="784">
        <v>21596418725.719978</v>
      </c>
      <c r="J30" s="784">
        <v>1086774089.3599999</v>
      </c>
      <c r="K30" s="781">
        <f t="shared" si="0"/>
        <v>5.0321958615560651E-2</v>
      </c>
    </row>
    <row r="31" spans="1:11">
      <c r="A31" s="788">
        <v>75000</v>
      </c>
      <c r="B31" s="787" t="s">
        <v>488</v>
      </c>
      <c r="C31" s="789">
        <v>99999</v>
      </c>
      <c r="D31" s="784">
        <v>26623068530.016178</v>
      </c>
      <c r="E31" s="784">
        <v>744284941.69000018</v>
      </c>
      <c r="F31" s="784">
        <v>4291649764.4600015</v>
      </c>
      <c r="G31" s="784">
        <v>394267238.29999983</v>
      </c>
      <c r="H31" s="784">
        <v>4685917002.7600012</v>
      </c>
      <c r="I31" s="784">
        <v>20810912087.469997</v>
      </c>
      <c r="J31" s="784">
        <v>1080514752.9100008</v>
      </c>
      <c r="K31" s="781">
        <f t="shared" si="0"/>
        <v>5.1920586102545976E-2</v>
      </c>
    </row>
    <row r="32" spans="1:11">
      <c r="A32" s="788">
        <v>100000</v>
      </c>
      <c r="B32" s="787" t="s">
        <v>486</v>
      </c>
      <c r="C32" s="786" t="s">
        <v>519</v>
      </c>
      <c r="D32" s="784">
        <v>131107270348.57774</v>
      </c>
      <c r="E32" s="784">
        <v>1681943858.4100003</v>
      </c>
      <c r="F32" s="784">
        <v>19018646645.670002</v>
      </c>
      <c r="G32" s="784">
        <v>223261476.69999996</v>
      </c>
      <c r="H32" s="784">
        <v>19241908122.370003</v>
      </c>
      <c r="I32" s="784">
        <v>111892022163.57001</v>
      </c>
      <c r="J32" s="784">
        <v>6177101222.2900028</v>
      </c>
      <c r="K32" s="781">
        <f t="shared" si="0"/>
        <v>5.5205912833177433E-2</v>
      </c>
    </row>
    <row r="33" spans="1:47">
      <c r="A33" s="783"/>
      <c r="B33" s="764"/>
      <c r="C33" s="765"/>
      <c r="D33" s="782"/>
      <c r="E33" s="782"/>
      <c r="F33" s="782"/>
      <c r="G33" s="782"/>
      <c r="H33" s="782"/>
      <c r="I33" s="782"/>
      <c r="J33" s="782"/>
      <c r="K33" s="781"/>
    </row>
    <row r="34" spans="1:47">
      <c r="A34" s="284" t="s">
        <v>25</v>
      </c>
      <c r="B34" s="284"/>
      <c r="C34" s="284"/>
      <c r="D34" s="289">
        <f t="shared" ref="D34:J34" si="1">SUM(D8:D32)</f>
        <v>232042267809.66608</v>
      </c>
      <c r="E34" s="289">
        <f t="shared" si="1"/>
        <v>7325128740.0600014</v>
      </c>
      <c r="F34" s="289">
        <f t="shared" si="1"/>
        <v>41176229141.01001</v>
      </c>
      <c r="G34" s="289">
        <f t="shared" si="1"/>
        <v>7372401887.8499985</v>
      </c>
      <c r="H34" s="289">
        <f t="shared" si="1"/>
        <v>48548631028.860008</v>
      </c>
      <c r="I34" s="289">
        <f t="shared" si="1"/>
        <v>180536068474.56998</v>
      </c>
      <c r="J34" s="289">
        <f t="shared" si="1"/>
        <v>9537700528.4700031</v>
      </c>
      <c r="K34" s="295">
        <f>J34/I34</f>
        <v>5.2829889390293601E-2</v>
      </c>
    </row>
    <row r="36" spans="1:47" s="763" customFormat="1" ht="15.75">
      <c r="A36" s="780" t="s">
        <v>2</v>
      </c>
      <c r="B36" s="779"/>
      <c r="C36" s="778"/>
      <c r="D36" s="776"/>
      <c r="E36" s="776"/>
      <c r="F36" s="776"/>
      <c r="G36" s="776"/>
      <c r="H36" s="777"/>
      <c r="I36" s="776"/>
      <c r="J36" s="814"/>
      <c r="K36" s="809"/>
      <c r="N36" s="775"/>
      <c r="O36" s="769"/>
      <c r="P36" s="774"/>
      <c r="Q36" s="772"/>
      <c r="R36" s="772"/>
      <c r="S36" s="772"/>
      <c r="T36" s="772"/>
      <c r="U36" s="773"/>
      <c r="V36" s="772"/>
      <c r="W36" s="772"/>
      <c r="X36" s="772"/>
      <c r="AA36" s="775"/>
      <c r="AB36" s="769"/>
      <c r="AC36" s="774"/>
      <c r="AD36" s="772"/>
      <c r="AE36" s="772"/>
      <c r="AF36" s="772"/>
      <c r="AG36" s="772"/>
      <c r="AH36" s="773"/>
      <c r="AI36" s="772"/>
      <c r="AJ36" s="772"/>
      <c r="AK36" s="772"/>
      <c r="AN36" s="771"/>
      <c r="AO36" s="771"/>
      <c r="AP36" s="771"/>
      <c r="AQ36" s="771"/>
      <c r="AR36" s="771"/>
      <c r="AS36" s="771"/>
      <c r="AT36" s="771"/>
      <c r="AU36" s="771"/>
    </row>
    <row r="37" spans="1:47" s="763" customFormat="1">
      <c r="A37" s="768" t="s">
        <v>514</v>
      </c>
      <c r="B37" s="770"/>
      <c r="C37" s="765"/>
      <c r="D37" s="770"/>
      <c r="E37" s="770"/>
      <c r="F37" s="770"/>
      <c r="G37" s="770"/>
      <c r="H37" s="764"/>
      <c r="I37" s="770"/>
      <c r="J37" s="770"/>
      <c r="K37" s="770"/>
      <c r="N37" s="768"/>
      <c r="O37" s="770"/>
      <c r="P37" s="765"/>
      <c r="Q37" s="770"/>
      <c r="R37" s="770"/>
      <c r="S37" s="770"/>
      <c r="T37" s="770"/>
      <c r="U37" s="764"/>
      <c r="V37" s="770"/>
      <c r="W37" s="770"/>
      <c r="X37" s="770"/>
    </row>
    <row r="38" spans="1:47" s="763" customFormat="1">
      <c r="A38" s="763" t="s">
        <v>515</v>
      </c>
      <c r="C38" s="765"/>
      <c r="H38" s="764"/>
      <c r="N38" s="768"/>
      <c r="P38" s="765"/>
      <c r="U38" s="764"/>
    </row>
    <row r="39" spans="1:47" s="763" customFormat="1">
      <c r="A39" s="1023" t="s">
        <v>516</v>
      </c>
      <c r="C39" s="765"/>
      <c r="H39" s="764"/>
      <c r="N39" s="768"/>
      <c r="P39" s="765"/>
      <c r="U39" s="764"/>
    </row>
    <row r="40" spans="1:47" s="763" customFormat="1" ht="12.75" customHeight="1">
      <c r="A40" s="768" t="s">
        <v>517</v>
      </c>
      <c r="F40" s="769"/>
      <c r="N40" s="766"/>
      <c r="P40" s="765"/>
      <c r="U40" s="764"/>
    </row>
    <row r="41" spans="1:47" s="763" customFormat="1" ht="12.75" customHeight="1">
      <c r="A41" s="768" t="s">
        <v>518</v>
      </c>
      <c r="B41" s="767"/>
      <c r="C41" s="767"/>
      <c r="D41" s="767"/>
      <c r="E41" s="767"/>
      <c r="F41" s="767"/>
      <c r="G41" s="767"/>
      <c r="H41" s="767"/>
      <c r="I41" s="767"/>
      <c r="J41" s="767"/>
      <c r="K41" s="767"/>
      <c r="N41" s="766"/>
      <c r="P41" s="765"/>
      <c r="U41" s="764"/>
    </row>
    <row r="49" spans="6:6">
      <c r="F49" s="296"/>
    </row>
  </sheetData>
  <mergeCells count="1">
    <mergeCell ref="A2:L2"/>
  </mergeCells>
  <printOptions horizontalCentered="1"/>
  <pageMargins left="0.5" right="0.5" top="0.5" bottom="0.5" header="0.5" footer="0.5"/>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Sheet6"/>
  <dimension ref="A1:AD35"/>
  <sheetViews>
    <sheetView zoomScaleNormal="100" workbookViewId="0">
      <selection activeCell="C19" sqref="C19"/>
    </sheetView>
  </sheetViews>
  <sheetFormatPr defaultColWidth="9.140625" defaultRowHeight="12.75"/>
  <cols>
    <col min="1" max="1" width="12.42578125" style="281" customWidth="1"/>
    <col min="2" max="2" width="4.7109375" style="281" customWidth="1"/>
    <col min="3" max="3" width="12.42578125" style="281" customWidth="1"/>
    <col min="4" max="7" width="16.28515625" style="281" customWidth="1"/>
    <col min="8" max="16384" width="9.140625" style="281"/>
  </cols>
  <sheetData>
    <row r="1" spans="1:7" ht="18" customHeight="1">
      <c r="A1" s="805" t="s">
        <v>490</v>
      </c>
      <c r="B1" s="805"/>
      <c r="C1" s="805"/>
    </row>
    <row r="2" spans="1:7" ht="15.75" customHeight="1">
      <c r="A2" s="769" t="s">
        <v>491</v>
      </c>
      <c r="B2" s="769"/>
      <c r="C2" s="769"/>
    </row>
    <row r="3" spans="1:7" ht="15.75" customHeight="1">
      <c r="A3" s="775" t="str">
        <f>'Table 1.2'!A3</f>
        <v>Taxable Year 2010</v>
      </c>
      <c r="B3" s="769"/>
      <c r="C3" s="769"/>
    </row>
    <row r="4" spans="1:7" ht="16.5" customHeight="1" thickBot="1"/>
    <row r="5" spans="1:7" ht="15.75" customHeight="1">
      <c r="A5" s="794"/>
      <c r="B5" s="794"/>
      <c r="C5" s="804"/>
      <c r="D5" s="287"/>
      <c r="E5" s="804" t="s">
        <v>492</v>
      </c>
      <c r="F5" s="804" t="s">
        <v>492</v>
      </c>
      <c r="G5" s="804" t="s">
        <v>25</v>
      </c>
    </row>
    <row r="6" spans="1:7" ht="15.75" customHeight="1">
      <c r="A6" s="793"/>
      <c r="B6" s="793" t="s">
        <v>476</v>
      </c>
      <c r="C6" s="802"/>
      <c r="D6" s="802" t="s">
        <v>493</v>
      </c>
      <c r="E6" s="802" t="s">
        <v>494</v>
      </c>
      <c r="F6" s="802" t="s">
        <v>495</v>
      </c>
      <c r="G6" s="802" t="s">
        <v>496</v>
      </c>
    </row>
    <row r="7" spans="1:7" ht="15.75" customHeight="1">
      <c r="A7" s="790"/>
      <c r="B7" s="790" t="s">
        <v>479</v>
      </c>
      <c r="C7" s="803"/>
      <c r="D7" s="803" t="s">
        <v>497</v>
      </c>
      <c r="E7" s="803" t="s">
        <v>497</v>
      </c>
      <c r="F7" s="803" t="s">
        <v>497</v>
      </c>
      <c r="G7" s="803" t="s">
        <v>497</v>
      </c>
    </row>
    <row r="8" spans="1:7" ht="15" customHeight="1">
      <c r="A8" s="282"/>
      <c r="B8" s="282"/>
      <c r="C8" s="282"/>
      <c r="D8" s="802"/>
      <c r="E8" s="282"/>
      <c r="F8" s="282"/>
      <c r="G8" s="282"/>
    </row>
    <row r="9" spans="1:7" ht="12.75" customHeight="1">
      <c r="A9" s="799">
        <v>999</v>
      </c>
      <c r="B9" s="764" t="s">
        <v>486</v>
      </c>
      <c r="C9" s="765" t="s">
        <v>487</v>
      </c>
      <c r="D9" s="784">
        <v>91854</v>
      </c>
      <c r="E9" s="784">
        <v>44699</v>
      </c>
      <c r="F9" s="784">
        <v>11058</v>
      </c>
      <c r="G9" s="784">
        <f t="shared" ref="G9:G33" si="0">SUM(D9:F9)</f>
        <v>147611</v>
      </c>
    </row>
    <row r="10" spans="1:7" ht="12.75" customHeight="1">
      <c r="A10" s="798">
        <v>1000</v>
      </c>
      <c r="B10" s="764" t="s">
        <v>488</v>
      </c>
      <c r="C10" s="799">
        <v>1999</v>
      </c>
      <c r="D10" s="784">
        <v>41646</v>
      </c>
      <c r="E10" s="784">
        <v>6132</v>
      </c>
      <c r="F10" s="784">
        <v>2243</v>
      </c>
      <c r="G10" s="784">
        <f t="shared" si="0"/>
        <v>50021</v>
      </c>
    </row>
    <row r="11" spans="1:7" ht="12.75" customHeight="1">
      <c r="A11" s="798">
        <v>2000</v>
      </c>
      <c r="B11" s="764" t="s">
        <v>488</v>
      </c>
      <c r="C11" s="799">
        <v>2999</v>
      </c>
      <c r="D11" s="784">
        <v>46480</v>
      </c>
      <c r="E11" s="784">
        <v>5841</v>
      </c>
      <c r="F11" s="784">
        <v>2134</v>
      </c>
      <c r="G11" s="784">
        <f t="shared" si="0"/>
        <v>54455</v>
      </c>
    </row>
    <row r="12" spans="1:7" ht="12.75" customHeight="1">
      <c r="A12" s="798">
        <v>3000</v>
      </c>
      <c r="B12" s="764" t="s">
        <v>488</v>
      </c>
      <c r="C12" s="799">
        <v>3999</v>
      </c>
      <c r="D12" s="784">
        <v>48151</v>
      </c>
      <c r="E12" s="784">
        <v>5949</v>
      </c>
      <c r="F12" s="784">
        <v>2146</v>
      </c>
      <c r="G12" s="784">
        <f t="shared" si="0"/>
        <v>56246</v>
      </c>
    </row>
    <row r="13" spans="1:7" ht="12.75" customHeight="1">
      <c r="A13" s="798">
        <v>4000</v>
      </c>
      <c r="B13" s="764" t="s">
        <v>488</v>
      </c>
      <c r="C13" s="799">
        <v>4999</v>
      </c>
      <c r="D13" s="784">
        <v>47962</v>
      </c>
      <c r="E13" s="784">
        <v>5801</v>
      </c>
      <c r="F13" s="784">
        <v>2038</v>
      </c>
      <c r="G13" s="784">
        <f t="shared" si="0"/>
        <v>55801</v>
      </c>
    </row>
    <row r="14" spans="1:7" ht="12.75" customHeight="1">
      <c r="A14" s="798">
        <v>5000</v>
      </c>
      <c r="B14" s="764" t="s">
        <v>488</v>
      </c>
      <c r="C14" s="799">
        <v>5999</v>
      </c>
      <c r="D14" s="784">
        <v>47714</v>
      </c>
      <c r="E14" s="784">
        <v>5872</v>
      </c>
      <c r="F14" s="784">
        <v>1959</v>
      </c>
      <c r="G14" s="784">
        <f t="shared" si="0"/>
        <v>55545</v>
      </c>
    </row>
    <row r="15" spans="1:7" ht="12.75" customHeight="1">
      <c r="A15" s="798">
        <v>6000</v>
      </c>
      <c r="B15" s="764" t="s">
        <v>488</v>
      </c>
      <c r="C15" s="799">
        <v>6999</v>
      </c>
      <c r="D15" s="784">
        <v>47340</v>
      </c>
      <c r="E15" s="784">
        <v>5977</v>
      </c>
      <c r="F15" s="784">
        <v>2048</v>
      </c>
      <c r="G15" s="784">
        <f t="shared" si="0"/>
        <v>55365</v>
      </c>
    </row>
    <row r="16" spans="1:7" ht="12.75" customHeight="1">
      <c r="A16" s="798">
        <v>7000</v>
      </c>
      <c r="B16" s="764" t="s">
        <v>488</v>
      </c>
      <c r="C16" s="799">
        <v>7999</v>
      </c>
      <c r="D16" s="784">
        <v>46298</v>
      </c>
      <c r="E16" s="784">
        <v>6433</v>
      </c>
      <c r="F16" s="784">
        <v>1990</v>
      </c>
      <c r="G16" s="784">
        <f t="shared" si="0"/>
        <v>54721</v>
      </c>
    </row>
    <row r="17" spans="1:30" ht="12.75" customHeight="1">
      <c r="A17" s="798">
        <v>8000</v>
      </c>
      <c r="B17" s="764" t="s">
        <v>488</v>
      </c>
      <c r="C17" s="799">
        <v>8999</v>
      </c>
      <c r="D17" s="784">
        <v>46215</v>
      </c>
      <c r="E17" s="784">
        <v>6533</v>
      </c>
      <c r="F17" s="784">
        <v>1928</v>
      </c>
      <c r="G17" s="784">
        <f t="shared" si="0"/>
        <v>54676</v>
      </c>
    </row>
    <row r="18" spans="1:30" ht="12.75" customHeight="1">
      <c r="A18" s="798">
        <v>9000</v>
      </c>
      <c r="B18" s="764" t="s">
        <v>488</v>
      </c>
      <c r="C18" s="799">
        <v>9999</v>
      </c>
      <c r="D18" s="784">
        <v>47376</v>
      </c>
      <c r="E18" s="784">
        <v>7272</v>
      </c>
      <c r="F18" s="784">
        <v>2035</v>
      </c>
      <c r="G18" s="784">
        <f t="shared" si="0"/>
        <v>56683</v>
      </c>
    </row>
    <row r="19" spans="1:30" ht="12.75" customHeight="1">
      <c r="A19" s="798">
        <v>10000</v>
      </c>
      <c r="B19" s="764" t="s">
        <v>488</v>
      </c>
      <c r="C19" s="799">
        <v>10999</v>
      </c>
      <c r="D19" s="784">
        <v>45015</v>
      </c>
      <c r="E19" s="784">
        <v>7260</v>
      </c>
      <c r="F19" s="784">
        <v>1966</v>
      </c>
      <c r="G19" s="784">
        <f t="shared" si="0"/>
        <v>54241</v>
      </c>
      <c r="AB19" s="801" t="s">
        <v>493</v>
      </c>
      <c r="AC19" s="766">
        <f>D35</f>
        <v>1999520</v>
      </c>
      <c r="AD19" s="800">
        <f>AC19/AC$22</f>
        <v>0.55717469139741471</v>
      </c>
    </row>
    <row r="20" spans="1:30" ht="12.75" customHeight="1">
      <c r="A20" s="798">
        <v>11000</v>
      </c>
      <c r="B20" s="764" t="s">
        <v>488</v>
      </c>
      <c r="C20" s="799">
        <v>11999</v>
      </c>
      <c r="D20" s="784">
        <v>43200</v>
      </c>
      <c r="E20" s="784">
        <v>7641</v>
      </c>
      <c r="F20" s="784">
        <v>1928</v>
      </c>
      <c r="G20" s="784">
        <f t="shared" si="0"/>
        <v>52769</v>
      </c>
      <c r="AB20" s="801" t="s">
        <v>498</v>
      </c>
      <c r="AC20" s="766">
        <f>F35</f>
        <v>138106</v>
      </c>
      <c r="AD20" s="800">
        <f>AC20/AC$22</f>
        <v>3.8483820081885327E-2</v>
      </c>
    </row>
    <row r="21" spans="1:30" ht="12.75" customHeight="1">
      <c r="A21" s="798">
        <v>12000</v>
      </c>
      <c r="B21" s="764" t="s">
        <v>488</v>
      </c>
      <c r="C21" s="799">
        <v>12999</v>
      </c>
      <c r="D21" s="784">
        <v>42377</v>
      </c>
      <c r="E21" s="784">
        <v>8210</v>
      </c>
      <c r="F21" s="784">
        <v>1935</v>
      </c>
      <c r="G21" s="784">
        <f t="shared" si="0"/>
        <v>52522</v>
      </c>
      <c r="AB21" s="801" t="s">
        <v>494</v>
      </c>
      <c r="AC21" s="766">
        <f>E35</f>
        <v>1451051</v>
      </c>
      <c r="AD21" s="800">
        <f>AC21/AC$22</f>
        <v>0.40434148852069995</v>
      </c>
    </row>
    <row r="22" spans="1:30" ht="12.75" customHeight="1">
      <c r="A22" s="798">
        <v>13000</v>
      </c>
      <c r="B22" s="764" t="s">
        <v>488</v>
      </c>
      <c r="C22" s="799">
        <v>13999</v>
      </c>
      <c r="D22" s="784">
        <v>41861</v>
      </c>
      <c r="E22" s="784">
        <v>8805</v>
      </c>
      <c r="F22" s="784">
        <v>1929</v>
      </c>
      <c r="G22" s="784">
        <f t="shared" si="0"/>
        <v>52595</v>
      </c>
      <c r="AC22" s="286">
        <f>SUM(AC19:AC21)</f>
        <v>3588677</v>
      </c>
      <c r="AD22" s="293">
        <f>SUM(AD19:AD21)</f>
        <v>1</v>
      </c>
    </row>
    <row r="23" spans="1:30" ht="12.75" customHeight="1">
      <c r="A23" s="798">
        <v>14000</v>
      </c>
      <c r="B23" s="764" t="s">
        <v>488</v>
      </c>
      <c r="C23" s="799">
        <v>14999</v>
      </c>
      <c r="D23" s="784">
        <v>40056</v>
      </c>
      <c r="E23" s="784">
        <v>8888</v>
      </c>
      <c r="F23" s="784">
        <v>1906</v>
      </c>
      <c r="G23" s="784">
        <f t="shared" si="0"/>
        <v>50850</v>
      </c>
    </row>
    <row r="24" spans="1:30" ht="12.75" customHeight="1">
      <c r="A24" s="798">
        <v>15000</v>
      </c>
      <c r="B24" s="764" t="s">
        <v>488</v>
      </c>
      <c r="C24" s="799">
        <v>19999</v>
      </c>
      <c r="D24" s="784">
        <v>188882</v>
      </c>
      <c r="E24" s="784">
        <v>47242</v>
      </c>
      <c r="F24" s="784">
        <v>9321</v>
      </c>
      <c r="G24" s="784">
        <f t="shared" si="0"/>
        <v>245445</v>
      </c>
    </row>
    <row r="25" spans="1:30" ht="12.75" customHeight="1">
      <c r="A25" s="798">
        <v>20000</v>
      </c>
      <c r="B25" s="764" t="s">
        <v>488</v>
      </c>
      <c r="C25" s="799">
        <v>24999</v>
      </c>
      <c r="D25" s="784">
        <v>165151</v>
      </c>
      <c r="E25" s="784">
        <v>52407</v>
      </c>
      <c r="F25" s="784">
        <v>9333</v>
      </c>
      <c r="G25" s="784">
        <f t="shared" si="0"/>
        <v>226891</v>
      </c>
    </row>
    <row r="26" spans="1:30" ht="12.75" customHeight="1">
      <c r="A26" s="798">
        <v>25000</v>
      </c>
      <c r="B26" s="764" t="s">
        <v>488</v>
      </c>
      <c r="C26" s="799">
        <v>29999</v>
      </c>
      <c r="D26" s="784">
        <v>141659</v>
      </c>
      <c r="E26" s="784">
        <v>52434</v>
      </c>
      <c r="F26" s="784">
        <v>9140</v>
      </c>
      <c r="G26" s="784">
        <f t="shared" si="0"/>
        <v>203233</v>
      </c>
    </row>
    <row r="27" spans="1:30" ht="12.75" customHeight="1">
      <c r="A27" s="798">
        <v>30000</v>
      </c>
      <c r="B27" s="764" t="s">
        <v>488</v>
      </c>
      <c r="C27" s="799">
        <v>34999</v>
      </c>
      <c r="D27" s="784">
        <v>121684</v>
      </c>
      <c r="E27" s="784">
        <v>52757</v>
      </c>
      <c r="F27" s="784">
        <v>8599</v>
      </c>
      <c r="G27" s="784">
        <f t="shared" si="0"/>
        <v>183040</v>
      </c>
    </row>
    <row r="28" spans="1:30" ht="12.75" customHeight="1">
      <c r="A28" s="798">
        <v>35000</v>
      </c>
      <c r="B28" s="764" t="s">
        <v>488</v>
      </c>
      <c r="C28" s="799">
        <v>39999</v>
      </c>
      <c r="D28" s="784">
        <v>101862</v>
      </c>
      <c r="E28" s="784">
        <v>52524</v>
      </c>
      <c r="F28" s="784">
        <v>7848</v>
      </c>
      <c r="G28" s="784">
        <f t="shared" si="0"/>
        <v>162234</v>
      </c>
    </row>
    <row r="29" spans="1:30" ht="12.75" customHeight="1">
      <c r="A29" s="798">
        <v>40000</v>
      </c>
      <c r="B29" s="764" t="s">
        <v>488</v>
      </c>
      <c r="C29" s="799">
        <v>44999</v>
      </c>
      <c r="D29" s="784">
        <v>86057</v>
      </c>
      <c r="E29" s="784">
        <v>51138</v>
      </c>
      <c r="F29" s="784">
        <v>7138</v>
      </c>
      <c r="G29" s="784">
        <f t="shared" si="0"/>
        <v>144333</v>
      </c>
    </row>
    <row r="30" spans="1:30" ht="12.75" customHeight="1">
      <c r="A30" s="798">
        <v>45000</v>
      </c>
      <c r="B30" s="764" t="s">
        <v>488</v>
      </c>
      <c r="C30" s="799">
        <v>49999</v>
      </c>
      <c r="D30" s="784">
        <v>70874</v>
      </c>
      <c r="E30" s="784">
        <v>50126</v>
      </c>
      <c r="F30" s="784">
        <v>6074</v>
      </c>
      <c r="G30" s="784">
        <f t="shared" si="0"/>
        <v>127074</v>
      </c>
    </row>
    <row r="31" spans="1:30" ht="12.75" customHeight="1">
      <c r="A31" s="798">
        <v>50000</v>
      </c>
      <c r="B31" s="764" t="s">
        <v>488</v>
      </c>
      <c r="C31" s="799">
        <v>74999</v>
      </c>
      <c r="D31" s="784">
        <v>211806</v>
      </c>
      <c r="E31" s="784">
        <v>242800</v>
      </c>
      <c r="F31" s="784">
        <v>19133</v>
      </c>
      <c r="G31" s="784">
        <f t="shared" si="0"/>
        <v>473739</v>
      </c>
    </row>
    <row r="32" spans="1:30" ht="12.75" customHeight="1">
      <c r="A32" s="798">
        <v>75000</v>
      </c>
      <c r="B32" s="764" t="s">
        <v>488</v>
      </c>
      <c r="C32" s="799">
        <v>99999</v>
      </c>
      <c r="D32" s="784">
        <v>92000</v>
      </c>
      <c r="E32" s="784">
        <v>205947</v>
      </c>
      <c r="F32" s="784">
        <v>9388</v>
      </c>
      <c r="G32" s="784">
        <f t="shared" si="0"/>
        <v>307335</v>
      </c>
    </row>
    <row r="33" spans="1:7" ht="12.75" customHeight="1">
      <c r="A33" s="798">
        <v>100000</v>
      </c>
      <c r="B33" s="764" t="s">
        <v>486</v>
      </c>
      <c r="C33" s="797" t="s">
        <v>519</v>
      </c>
      <c r="D33" s="784">
        <v>96000</v>
      </c>
      <c r="E33" s="784">
        <v>502363</v>
      </c>
      <c r="F33" s="784">
        <v>12889</v>
      </c>
      <c r="G33" s="784">
        <f t="shared" si="0"/>
        <v>611252</v>
      </c>
    </row>
    <row r="34" spans="1:7" ht="12.75" customHeight="1">
      <c r="A34" s="798"/>
      <c r="B34" s="764"/>
      <c r="C34" s="797"/>
      <c r="D34" s="784"/>
      <c r="E34" s="784"/>
      <c r="F34" s="784"/>
      <c r="G34" s="784"/>
    </row>
    <row r="35" spans="1:7" ht="15" customHeight="1">
      <c r="A35" s="284" t="s">
        <v>489</v>
      </c>
      <c r="B35" s="284"/>
      <c r="C35" s="284"/>
      <c r="D35" s="285">
        <f>SUM(D9:D33)</f>
        <v>1999520</v>
      </c>
      <c r="E35" s="285">
        <f>SUM(E9:E33)</f>
        <v>1451051</v>
      </c>
      <c r="F35" s="285">
        <f>SUM(F9:F33)</f>
        <v>138106</v>
      </c>
      <c r="G35" s="285">
        <f>SUM(G9:G33)</f>
        <v>3588677</v>
      </c>
    </row>
  </sheetData>
  <printOptions horizontalCentered="1"/>
  <pageMargins left="0.34901960784313701" right="0.331372549019608" top="0.61960784313725503" bottom="0.44313725490196099" header="0.50980392156862797" footer="0.50980392156862797"/>
  <pageSetup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sheetPr codeName="Sheet7"/>
  <dimension ref="A1:J43"/>
  <sheetViews>
    <sheetView zoomScaleNormal="100" workbookViewId="0">
      <selection activeCell="C19" sqref="C19"/>
    </sheetView>
  </sheetViews>
  <sheetFormatPr defaultColWidth="9.140625" defaultRowHeight="12.75"/>
  <cols>
    <col min="1" max="1" width="12.42578125" style="281" customWidth="1"/>
    <col min="2" max="2" width="4.7109375" style="281" customWidth="1"/>
    <col min="3" max="3" width="12.42578125" style="281" customWidth="1"/>
    <col min="4" max="4" width="16.42578125" style="281" customWidth="1"/>
    <col min="5" max="8" width="15" style="281" customWidth="1"/>
    <col min="9" max="9" width="17.7109375" style="281" customWidth="1"/>
    <col min="10" max="16384" width="9.140625" style="281"/>
  </cols>
  <sheetData>
    <row r="1" spans="1:10" s="763" customFormat="1" ht="18">
      <c r="A1" s="805" t="s">
        <v>474</v>
      </c>
      <c r="B1" s="764"/>
      <c r="C1" s="797"/>
      <c r="D1" s="797"/>
    </row>
    <row r="2" spans="1:10" s="763" customFormat="1" ht="15.75">
      <c r="A2" s="769" t="s">
        <v>475</v>
      </c>
      <c r="B2" s="764"/>
      <c r="C2" s="797"/>
      <c r="D2" s="797"/>
    </row>
    <row r="3" spans="1:10" s="763" customFormat="1" ht="15.75">
      <c r="A3" s="775" t="str">
        <f>'Table 1.2'!A3</f>
        <v>Taxable Year 2010</v>
      </c>
      <c r="B3" s="764"/>
      <c r="C3" s="797"/>
      <c r="D3" s="797"/>
    </row>
    <row r="4" spans="1:10" ht="13.5" customHeight="1" thickBot="1"/>
    <row r="5" spans="1:10" s="808" customFormat="1" ht="15.75">
      <c r="A5" s="794"/>
      <c r="B5" s="794" t="s">
        <v>476</v>
      </c>
      <c r="C5" s="804"/>
      <c r="D5" s="804" t="s">
        <v>477</v>
      </c>
      <c r="E5" s="795"/>
      <c r="F5" s="795"/>
      <c r="G5" s="795"/>
      <c r="H5" s="795"/>
      <c r="I5" s="804" t="s">
        <v>477</v>
      </c>
      <c r="J5" s="808" t="s">
        <v>478</v>
      </c>
    </row>
    <row r="6" spans="1:10" s="808" customFormat="1" ht="15.75">
      <c r="A6" s="790"/>
      <c r="B6" s="790" t="s">
        <v>479</v>
      </c>
      <c r="C6" s="803"/>
      <c r="D6" s="803" t="s">
        <v>480</v>
      </c>
      <c r="E6" s="803" t="s">
        <v>481</v>
      </c>
      <c r="F6" s="803" t="s">
        <v>482</v>
      </c>
      <c r="G6" s="803" t="s">
        <v>483</v>
      </c>
      <c r="H6" s="803" t="s">
        <v>484</v>
      </c>
      <c r="I6" s="803" t="s">
        <v>485</v>
      </c>
    </row>
    <row r="7" spans="1:10" ht="15.75" customHeight="1">
      <c r="A7" s="282"/>
      <c r="B7" s="282"/>
      <c r="C7" s="283"/>
      <c r="D7" s="283"/>
      <c r="E7" s="283"/>
      <c r="F7" s="283"/>
      <c r="G7" s="282"/>
    </row>
    <row r="8" spans="1:10" ht="15" customHeight="1">
      <c r="A8" s="798">
        <v>999</v>
      </c>
      <c r="B8" s="764" t="s">
        <v>486</v>
      </c>
      <c r="C8" s="765" t="s">
        <v>487</v>
      </c>
      <c r="D8" s="784">
        <f>'Table 1.3'!G9</f>
        <v>147611</v>
      </c>
      <c r="E8" s="784">
        <v>192639</v>
      </c>
      <c r="F8" s="784">
        <v>63263</v>
      </c>
      <c r="G8" s="784">
        <v>30187</v>
      </c>
      <c r="H8" s="784">
        <v>528</v>
      </c>
      <c r="I8" s="784">
        <f t="shared" ref="I8:I32" si="0">SUM(E8:H8)</f>
        <v>286617</v>
      </c>
    </row>
    <row r="9" spans="1:10" ht="15" customHeight="1">
      <c r="A9" s="798">
        <v>1000</v>
      </c>
      <c r="B9" s="764" t="s">
        <v>488</v>
      </c>
      <c r="C9" s="799">
        <v>1999</v>
      </c>
      <c r="D9" s="784">
        <f>'Table 1.3'!G10</f>
        <v>50021</v>
      </c>
      <c r="E9" s="784">
        <v>56212</v>
      </c>
      <c r="F9" s="784">
        <v>13656</v>
      </c>
      <c r="G9" s="784">
        <v>5296</v>
      </c>
      <c r="H9" s="784">
        <v>158</v>
      </c>
      <c r="I9" s="784">
        <f t="shared" si="0"/>
        <v>75322</v>
      </c>
    </row>
    <row r="10" spans="1:10" ht="15" customHeight="1">
      <c r="A10" s="798">
        <v>2000</v>
      </c>
      <c r="B10" s="764" t="s">
        <v>488</v>
      </c>
      <c r="C10" s="799">
        <v>2999</v>
      </c>
      <c r="D10" s="784">
        <f>'Table 1.3'!G11</f>
        <v>54455</v>
      </c>
      <c r="E10" s="784">
        <v>60381</v>
      </c>
      <c r="F10" s="784">
        <v>15054</v>
      </c>
      <c r="G10" s="784">
        <v>5312</v>
      </c>
      <c r="H10" s="784">
        <v>147</v>
      </c>
      <c r="I10" s="784">
        <f t="shared" si="0"/>
        <v>80894</v>
      </c>
    </row>
    <row r="11" spans="1:10" ht="15" customHeight="1">
      <c r="A11" s="798">
        <v>3000</v>
      </c>
      <c r="B11" s="764" t="s">
        <v>488</v>
      </c>
      <c r="C11" s="799">
        <v>3999</v>
      </c>
      <c r="D11" s="784">
        <f>'Table 1.3'!G12</f>
        <v>56246</v>
      </c>
      <c r="E11" s="784">
        <v>62288</v>
      </c>
      <c r="F11" s="784">
        <v>16066</v>
      </c>
      <c r="G11" s="784">
        <v>5727</v>
      </c>
      <c r="H11" s="784">
        <v>147</v>
      </c>
      <c r="I11" s="784">
        <f t="shared" si="0"/>
        <v>84228</v>
      </c>
    </row>
    <row r="12" spans="1:10" ht="15" customHeight="1">
      <c r="A12" s="798">
        <v>4000</v>
      </c>
      <c r="B12" s="764" t="s">
        <v>488</v>
      </c>
      <c r="C12" s="799">
        <v>4999</v>
      </c>
      <c r="D12" s="784">
        <f>'Table 1.3'!G13</f>
        <v>55801</v>
      </c>
      <c r="E12" s="784">
        <v>61702</v>
      </c>
      <c r="F12" s="784">
        <v>16969</v>
      </c>
      <c r="G12" s="784">
        <v>5988</v>
      </c>
      <c r="H12" s="784">
        <v>147</v>
      </c>
      <c r="I12" s="784">
        <f t="shared" si="0"/>
        <v>84806</v>
      </c>
    </row>
    <row r="13" spans="1:10" ht="15" customHeight="1">
      <c r="A13" s="798">
        <v>5000</v>
      </c>
      <c r="B13" s="764" t="s">
        <v>488</v>
      </c>
      <c r="C13" s="799">
        <v>5999</v>
      </c>
      <c r="D13" s="784">
        <f>'Table 1.3'!G14</f>
        <v>55545</v>
      </c>
      <c r="E13" s="784">
        <v>61521</v>
      </c>
      <c r="F13" s="784">
        <v>17891</v>
      </c>
      <c r="G13" s="784">
        <v>6482</v>
      </c>
      <c r="H13" s="784">
        <v>130</v>
      </c>
      <c r="I13" s="784">
        <f t="shared" si="0"/>
        <v>86024</v>
      </c>
    </row>
    <row r="14" spans="1:10" ht="15" customHeight="1">
      <c r="A14" s="798">
        <v>6000</v>
      </c>
      <c r="B14" s="764" t="s">
        <v>488</v>
      </c>
      <c r="C14" s="799">
        <v>6999</v>
      </c>
      <c r="D14" s="784">
        <f>'Table 1.3'!G15</f>
        <v>55365</v>
      </c>
      <c r="E14" s="784">
        <v>61477</v>
      </c>
      <c r="F14" s="784">
        <v>19401</v>
      </c>
      <c r="G14" s="784">
        <v>6935</v>
      </c>
      <c r="H14" s="784">
        <v>139</v>
      </c>
      <c r="I14" s="784">
        <f t="shared" si="0"/>
        <v>87952</v>
      </c>
    </row>
    <row r="15" spans="1:10" ht="15" customHeight="1">
      <c r="A15" s="798">
        <v>7000</v>
      </c>
      <c r="B15" s="764" t="s">
        <v>488</v>
      </c>
      <c r="C15" s="799">
        <v>7999</v>
      </c>
      <c r="D15" s="784">
        <f>'Table 1.3'!G16</f>
        <v>54721</v>
      </c>
      <c r="E15" s="784">
        <v>61275</v>
      </c>
      <c r="F15" s="784">
        <v>21173</v>
      </c>
      <c r="G15" s="784">
        <v>7517</v>
      </c>
      <c r="H15" s="784">
        <v>131</v>
      </c>
      <c r="I15" s="784">
        <f t="shared" si="0"/>
        <v>90096</v>
      </c>
    </row>
    <row r="16" spans="1:10" ht="15" customHeight="1">
      <c r="A16" s="798">
        <v>8000</v>
      </c>
      <c r="B16" s="764" t="s">
        <v>488</v>
      </c>
      <c r="C16" s="799">
        <v>8999</v>
      </c>
      <c r="D16" s="784">
        <f>'Table 1.3'!G17</f>
        <v>54676</v>
      </c>
      <c r="E16" s="784">
        <v>61345</v>
      </c>
      <c r="F16" s="784">
        <v>22741</v>
      </c>
      <c r="G16" s="784">
        <v>7837</v>
      </c>
      <c r="H16" s="784">
        <v>145</v>
      </c>
      <c r="I16" s="784">
        <f t="shared" si="0"/>
        <v>92068</v>
      </c>
    </row>
    <row r="17" spans="1:9" ht="15" customHeight="1">
      <c r="A17" s="798">
        <v>9000</v>
      </c>
      <c r="B17" s="764" t="s">
        <v>488</v>
      </c>
      <c r="C17" s="799">
        <v>9999</v>
      </c>
      <c r="D17" s="784">
        <f>'Table 1.3'!G18</f>
        <v>56683</v>
      </c>
      <c r="E17" s="784">
        <v>64098</v>
      </c>
      <c r="F17" s="784">
        <v>26951</v>
      </c>
      <c r="G17" s="784">
        <v>8386</v>
      </c>
      <c r="H17" s="784">
        <v>139</v>
      </c>
      <c r="I17" s="784">
        <f t="shared" si="0"/>
        <v>99574</v>
      </c>
    </row>
    <row r="18" spans="1:9" ht="15" customHeight="1">
      <c r="A18" s="798">
        <v>10000</v>
      </c>
      <c r="B18" s="764" t="s">
        <v>488</v>
      </c>
      <c r="C18" s="799">
        <v>10999</v>
      </c>
      <c r="D18" s="784">
        <f>'Table 1.3'!G19</f>
        <v>54241</v>
      </c>
      <c r="E18" s="784">
        <v>61633</v>
      </c>
      <c r="F18" s="784">
        <v>26702</v>
      </c>
      <c r="G18" s="784">
        <v>9261</v>
      </c>
      <c r="H18" s="784">
        <v>155</v>
      </c>
      <c r="I18" s="784">
        <f t="shared" si="0"/>
        <v>97751</v>
      </c>
    </row>
    <row r="19" spans="1:9" ht="15" customHeight="1">
      <c r="A19" s="798">
        <v>11000</v>
      </c>
      <c r="B19" s="764" t="s">
        <v>488</v>
      </c>
      <c r="C19" s="799">
        <v>11999</v>
      </c>
      <c r="D19" s="784">
        <f>'Table 1.3'!G20</f>
        <v>52769</v>
      </c>
      <c r="E19" s="784">
        <v>60523</v>
      </c>
      <c r="F19" s="784">
        <v>27340</v>
      </c>
      <c r="G19" s="784">
        <v>9568</v>
      </c>
      <c r="H19" s="784">
        <v>157</v>
      </c>
      <c r="I19" s="784">
        <f t="shared" si="0"/>
        <v>97588</v>
      </c>
    </row>
    <row r="20" spans="1:9" ht="15" customHeight="1">
      <c r="A20" s="798">
        <v>12000</v>
      </c>
      <c r="B20" s="764" t="s">
        <v>488</v>
      </c>
      <c r="C20" s="799">
        <v>12999</v>
      </c>
      <c r="D20" s="784">
        <f>'Table 1.3'!G21</f>
        <v>52522</v>
      </c>
      <c r="E20" s="784">
        <v>60847</v>
      </c>
      <c r="F20" s="784">
        <v>32434</v>
      </c>
      <c r="G20" s="784">
        <v>9704</v>
      </c>
      <c r="H20" s="784">
        <v>155</v>
      </c>
      <c r="I20" s="784">
        <f t="shared" si="0"/>
        <v>103140</v>
      </c>
    </row>
    <row r="21" spans="1:9" ht="15" customHeight="1">
      <c r="A21" s="798">
        <v>13000</v>
      </c>
      <c r="B21" s="764" t="s">
        <v>488</v>
      </c>
      <c r="C21" s="799">
        <v>13999</v>
      </c>
      <c r="D21" s="784">
        <f>'Table 1.3'!G22</f>
        <v>52595</v>
      </c>
      <c r="E21" s="784">
        <v>61534</v>
      </c>
      <c r="F21" s="784">
        <v>33217</v>
      </c>
      <c r="G21" s="784">
        <v>10129</v>
      </c>
      <c r="H21" s="784">
        <v>152</v>
      </c>
      <c r="I21" s="784">
        <f t="shared" si="0"/>
        <v>105032</v>
      </c>
    </row>
    <row r="22" spans="1:9" ht="15" customHeight="1">
      <c r="A22" s="798">
        <v>14000</v>
      </c>
      <c r="B22" s="764" t="s">
        <v>488</v>
      </c>
      <c r="C22" s="799">
        <v>14999</v>
      </c>
      <c r="D22" s="784">
        <f>'Table 1.3'!G23</f>
        <v>50850</v>
      </c>
      <c r="E22" s="784">
        <v>59863</v>
      </c>
      <c r="F22" s="784">
        <v>31826</v>
      </c>
      <c r="G22" s="784">
        <v>10029</v>
      </c>
      <c r="H22" s="784">
        <v>167</v>
      </c>
      <c r="I22" s="784">
        <f t="shared" si="0"/>
        <v>101885</v>
      </c>
    </row>
    <row r="23" spans="1:9" ht="15" customHeight="1">
      <c r="A23" s="798">
        <v>15000</v>
      </c>
      <c r="B23" s="764" t="s">
        <v>488</v>
      </c>
      <c r="C23" s="799">
        <v>19999</v>
      </c>
      <c r="D23" s="784">
        <f>'Table 1.3'!G24</f>
        <v>245445</v>
      </c>
      <c r="E23" s="784">
        <v>293289</v>
      </c>
      <c r="F23" s="784">
        <v>156449</v>
      </c>
      <c r="G23" s="784">
        <v>50697</v>
      </c>
      <c r="H23" s="784">
        <v>775</v>
      </c>
      <c r="I23" s="784">
        <f t="shared" si="0"/>
        <v>501210</v>
      </c>
    </row>
    <row r="24" spans="1:9" ht="15" customHeight="1">
      <c r="A24" s="798">
        <v>20000</v>
      </c>
      <c r="B24" s="764" t="s">
        <v>488</v>
      </c>
      <c r="C24" s="799">
        <v>24999</v>
      </c>
      <c r="D24" s="784">
        <f>'Table 1.3'!G25</f>
        <v>226891</v>
      </c>
      <c r="E24" s="784">
        <v>279977</v>
      </c>
      <c r="F24" s="784">
        <v>149586</v>
      </c>
      <c r="G24" s="784">
        <v>50645</v>
      </c>
      <c r="H24" s="784">
        <v>738</v>
      </c>
      <c r="I24" s="784">
        <f t="shared" si="0"/>
        <v>480946</v>
      </c>
    </row>
    <row r="25" spans="1:9" ht="15" customHeight="1">
      <c r="A25" s="798">
        <v>25000</v>
      </c>
      <c r="B25" s="764" t="s">
        <v>488</v>
      </c>
      <c r="C25" s="799">
        <v>29999</v>
      </c>
      <c r="D25" s="784">
        <f>'Table 1.3'!G26</f>
        <v>203233</v>
      </c>
      <c r="E25" s="784">
        <v>256478</v>
      </c>
      <c r="F25" s="784">
        <v>133807</v>
      </c>
      <c r="G25" s="784">
        <v>45934</v>
      </c>
      <c r="H25" s="784">
        <v>640</v>
      </c>
      <c r="I25" s="784">
        <f t="shared" si="0"/>
        <v>436859</v>
      </c>
    </row>
    <row r="26" spans="1:9" ht="15" customHeight="1">
      <c r="A26" s="798">
        <v>30000</v>
      </c>
      <c r="B26" s="764" t="s">
        <v>488</v>
      </c>
      <c r="C26" s="799">
        <v>34999</v>
      </c>
      <c r="D26" s="784">
        <f>'Table 1.3'!G27</f>
        <v>183040</v>
      </c>
      <c r="E26" s="784">
        <v>236514</v>
      </c>
      <c r="F26" s="784">
        <v>115757</v>
      </c>
      <c r="G26" s="784">
        <v>41204</v>
      </c>
      <c r="H26" s="784">
        <v>569</v>
      </c>
      <c r="I26" s="784">
        <f t="shared" si="0"/>
        <v>394044</v>
      </c>
    </row>
    <row r="27" spans="1:9" ht="15" customHeight="1">
      <c r="A27" s="798">
        <v>35000</v>
      </c>
      <c r="B27" s="764" t="s">
        <v>488</v>
      </c>
      <c r="C27" s="799">
        <v>39999</v>
      </c>
      <c r="D27" s="784">
        <f>'Table 1.3'!G28</f>
        <v>162234</v>
      </c>
      <c r="E27" s="784">
        <v>215480</v>
      </c>
      <c r="F27" s="784">
        <v>97815</v>
      </c>
      <c r="G27" s="784">
        <v>36429</v>
      </c>
      <c r="H27" s="784">
        <v>550</v>
      </c>
      <c r="I27" s="784">
        <f t="shared" si="0"/>
        <v>350274</v>
      </c>
    </row>
    <row r="28" spans="1:9" ht="15" customHeight="1">
      <c r="A28" s="798">
        <v>40000</v>
      </c>
      <c r="B28" s="764" t="s">
        <v>488</v>
      </c>
      <c r="C28" s="799">
        <v>44999</v>
      </c>
      <c r="D28" s="784">
        <f>'Table 1.3'!G29</f>
        <v>144333</v>
      </c>
      <c r="E28" s="784">
        <v>196157</v>
      </c>
      <c r="F28" s="784">
        <v>83915</v>
      </c>
      <c r="G28" s="784">
        <v>32183</v>
      </c>
      <c r="H28" s="784">
        <v>434</v>
      </c>
      <c r="I28" s="784">
        <f t="shared" si="0"/>
        <v>312689</v>
      </c>
    </row>
    <row r="29" spans="1:9" ht="15" customHeight="1">
      <c r="A29" s="798">
        <v>45000</v>
      </c>
      <c r="B29" s="764" t="s">
        <v>488</v>
      </c>
      <c r="C29" s="799">
        <v>49999</v>
      </c>
      <c r="D29" s="784">
        <f>'Table 1.3'!G30</f>
        <v>127074</v>
      </c>
      <c r="E29" s="784">
        <v>177838</v>
      </c>
      <c r="F29" s="784">
        <v>74573</v>
      </c>
      <c r="G29" s="784">
        <v>28417</v>
      </c>
      <c r="H29" s="784">
        <v>382</v>
      </c>
      <c r="I29" s="784">
        <f t="shared" si="0"/>
        <v>281210</v>
      </c>
    </row>
    <row r="30" spans="1:9" ht="15" customHeight="1">
      <c r="A30" s="798">
        <v>50000</v>
      </c>
      <c r="B30" s="764" t="s">
        <v>488</v>
      </c>
      <c r="C30" s="799">
        <v>74999</v>
      </c>
      <c r="D30" s="784">
        <f>'Table 1.3'!G31</f>
        <v>473739</v>
      </c>
      <c r="E30" s="784">
        <v>719222</v>
      </c>
      <c r="F30" s="784">
        <v>305991</v>
      </c>
      <c r="G30" s="784">
        <v>102729</v>
      </c>
      <c r="H30" s="784">
        <v>1298</v>
      </c>
      <c r="I30" s="784">
        <f t="shared" si="0"/>
        <v>1129240</v>
      </c>
    </row>
    <row r="31" spans="1:9" ht="15" customHeight="1">
      <c r="A31" s="798">
        <v>75000</v>
      </c>
      <c r="B31" s="764" t="s">
        <v>488</v>
      </c>
      <c r="C31" s="799">
        <v>99999</v>
      </c>
      <c r="D31" s="784">
        <f>'Table 1.3'!G32</f>
        <v>307335</v>
      </c>
      <c r="E31" s="784">
        <v>515195</v>
      </c>
      <c r="F31" s="784">
        <v>240063</v>
      </c>
      <c r="G31" s="784">
        <v>58684</v>
      </c>
      <c r="H31" s="784">
        <v>740</v>
      </c>
      <c r="I31" s="784">
        <f t="shared" si="0"/>
        <v>814682</v>
      </c>
    </row>
    <row r="32" spans="1:9" ht="15" customHeight="1">
      <c r="A32" s="798">
        <v>100000</v>
      </c>
      <c r="B32" s="764" t="s">
        <v>486</v>
      </c>
      <c r="C32" s="797" t="s">
        <v>519</v>
      </c>
      <c r="D32" s="784">
        <f>'Table 1.3'!G33</f>
        <v>611252</v>
      </c>
      <c r="E32" s="784">
        <v>1117346</v>
      </c>
      <c r="F32" s="784">
        <v>610476</v>
      </c>
      <c r="G32" s="784">
        <v>103719</v>
      </c>
      <c r="H32" s="784">
        <v>1287</v>
      </c>
      <c r="I32" s="784">
        <f t="shared" si="0"/>
        <v>1832828</v>
      </c>
    </row>
    <row r="33" spans="1:9" ht="15" customHeight="1">
      <c r="A33" s="798"/>
      <c r="B33" s="764"/>
      <c r="C33" s="797"/>
      <c r="D33" s="784"/>
      <c r="E33" s="784"/>
      <c r="F33" s="784"/>
      <c r="G33" s="784"/>
      <c r="H33" s="784"/>
      <c r="I33" s="784"/>
    </row>
    <row r="34" spans="1:9" ht="15" customHeight="1">
      <c r="A34" s="284" t="s">
        <v>489</v>
      </c>
      <c r="B34" s="284"/>
      <c r="C34" s="284"/>
      <c r="D34" s="285">
        <f t="shared" ref="D34:I34" si="1">SUM(D8:D32)</f>
        <v>3588677</v>
      </c>
      <c r="E34" s="285">
        <f t="shared" si="1"/>
        <v>5054834</v>
      </c>
      <c r="F34" s="285">
        <f t="shared" si="1"/>
        <v>2353116</v>
      </c>
      <c r="G34" s="285">
        <f t="shared" si="1"/>
        <v>688999</v>
      </c>
      <c r="H34" s="285">
        <f t="shared" si="1"/>
        <v>10010</v>
      </c>
      <c r="I34" s="285">
        <f t="shared" si="1"/>
        <v>8106959</v>
      </c>
    </row>
    <row r="39" spans="1:9">
      <c r="E39" s="801" t="s">
        <v>483</v>
      </c>
      <c r="F39" s="766">
        <f>G34</f>
        <v>688999</v>
      </c>
      <c r="G39" s="806">
        <f>F39/F$43</f>
        <v>8.4988588199348236E-2</v>
      </c>
    </row>
    <row r="40" spans="1:9">
      <c r="E40" s="801" t="s">
        <v>484</v>
      </c>
      <c r="F40" s="766">
        <f>H34</f>
        <v>10010</v>
      </c>
      <c r="G40" s="807">
        <f>F40/F$43</f>
        <v>1.2347416583702964E-3</v>
      </c>
    </row>
    <row r="41" spans="1:9">
      <c r="E41" s="801" t="s">
        <v>481</v>
      </c>
      <c r="F41" s="766">
        <f>E34</f>
        <v>5054834</v>
      </c>
      <c r="G41" s="806">
        <f>F41/F$43</f>
        <v>0.62351789370095489</v>
      </c>
    </row>
    <row r="42" spans="1:9">
      <c r="E42" s="801" t="s">
        <v>482</v>
      </c>
      <c r="F42" s="766">
        <f>F34</f>
        <v>2353116</v>
      </c>
      <c r="G42" s="806">
        <f>F42/F$43</f>
        <v>0.29025877644132653</v>
      </c>
    </row>
    <row r="43" spans="1:9">
      <c r="F43" s="286">
        <f>SUM(F39:F42)</f>
        <v>8106959</v>
      </c>
    </row>
  </sheetData>
  <printOptions horizontalCentered="1"/>
  <pageMargins left="0.5" right="0.5" top="1" bottom="1" header="0.5" footer="0.5"/>
  <pageSetup scale="6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sheetPr codeName="Sheet8"/>
  <dimension ref="A1:N212"/>
  <sheetViews>
    <sheetView showOutlineSymbols="0" zoomScaleNormal="100" workbookViewId="0">
      <selection activeCell="A2" sqref="A2"/>
    </sheetView>
  </sheetViews>
  <sheetFormatPr defaultColWidth="10.7109375" defaultRowHeight="17.100000000000001" customHeight="1"/>
  <cols>
    <col min="1" max="1" width="15.42578125" style="398" customWidth="1"/>
    <col min="2" max="2" width="15.7109375" style="398" customWidth="1"/>
    <col min="3" max="4" width="15.5703125" style="398" customWidth="1"/>
    <col min="5" max="5" width="16.28515625" style="398" bestFit="1" customWidth="1"/>
    <col min="6" max="7" width="15.5703125" style="398" customWidth="1"/>
    <col min="8" max="8" width="16.7109375" style="398" bestFit="1" customWidth="1"/>
    <col min="9" max="9" width="16.5703125" style="398" customWidth="1"/>
    <col min="10" max="10" width="17.7109375" style="398" bestFit="1" customWidth="1"/>
    <col min="11" max="11" width="17" style="398" customWidth="1"/>
    <col min="12" max="12" width="18.42578125" style="398" bestFit="1" customWidth="1"/>
    <col min="13" max="13" width="18.85546875" style="398" bestFit="1" customWidth="1"/>
    <col min="14" max="16384" width="10.7109375" style="398"/>
  </cols>
  <sheetData>
    <row r="1" spans="1:13" ht="18">
      <c r="A1" s="397" t="s">
        <v>803</v>
      </c>
      <c r="C1" s="399"/>
      <c r="D1" s="399"/>
      <c r="E1" s="399"/>
      <c r="F1" s="399"/>
      <c r="G1" s="399"/>
      <c r="H1" s="399"/>
      <c r="I1" s="399"/>
      <c r="J1" s="399"/>
      <c r="K1" s="399"/>
      <c r="L1" s="399"/>
    </row>
    <row r="2" spans="1:13" ht="17.100000000000001" customHeight="1">
      <c r="A2" s="400" t="s">
        <v>804</v>
      </c>
      <c r="C2" s="399"/>
      <c r="D2" s="399"/>
      <c r="E2" s="399"/>
      <c r="F2" s="399"/>
      <c r="G2" s="399"/>
      <c r="H2" s="399"/>
      <c r="I2" s="399"/>
      <c r="J2" s="399"/>
      <c r="K2" s="399"/>
      <c r="L2" s="399"/>
    </row>
    <row r="3" spans="1:13" ht="17.100000000000001" customHeight="1">
      <c r="A3" s="401" t="str">
        <f>'[7]Table 1.2'!A3</f>
        <v>Taxable Year 2010</v>
      </c>
      <c r="C3" s="402"/>
      <c r="D3" s="402"/>
      <c r="E3" s="402"/>
      <c r="F3" s="402"/>
      <c r="G3" s="402"/>
      <c r="H3" s="402"/>
      <c r="I3" s="402"/>
      <c r="J3" s="402"/>
      <c r="K3" s="402"/>
      <c r="L3" s="402"/>
    </row>
    <row r="4" spans="1:13" ht="17.100000000000001" customHeight="1" thickBot="1">
      <c r="A4" s="400"/>
      <c r="C4" s="402"/>
      <c r="D4" s="402"/>
      <c r="E4" s="402"/>
      <c r="F4" s="402"/>
      <c r="G4" s="402"/>
      <c r="H4" s="402"/>
      <c r="I4" s="402"/>
      <c r="J4" s="402"/>
      <c r="K4" s="402"/>
      <c r="L4" s="402"/>
    </row>
    <row r="5" spans="1:13" s="877" customFormat="1" ht="17.100000000000001" customHeight="1">
      <c r="A5" s="874"/>
      <c r="B5" s="875" t="s">
        <v>805</v>
      </c>
      <c r="C5" s="876"/>
      <c r="D5" s="876"/>
      <c r="E5" s="876"/>
      <c r="F5" s="876"/>
      <c r="G5" s="876"/>
      <c r="H5" s="876"/>
      <c r="I5" s="876"/>
      <c r="J5" s="876"/>
      <c r="K5" s="876"/>
      <c r="L5" s="876"/>
      <c r="M5" s="876" t="s">
        <v>25</v>
      </c>
    </row>
    <row r="6" spans="1:13" s="877" customFormat="1" ht="17.100000000000001" customHeight="1">
      <c r="A6" s="878"/>
      <c r="B6" s="879"/>
      <c r="C6" s="879" t="s">
        <v>806</v>
      </c>
      <c r="D6" s="879" t="s">
        <v>807</v>
      </c>
      <c r="E6" s="879" t="s">
        <v>808</v>
      </c>
      <c r="F6" s="879" t="s">
        <v>809</v>
      </c>
      <c r="G6" s="879" t="s">
        <v>810</v>
      </c>
      <c r="H6" s="879" t="s">
        <v>811</v>
      </c>
      <c r="I6" s="879" t="s">
        <v>812</v>
      </c>
      <c r="J6" s="879" t="s">
        <v>813</v>
      </c>
      <c r="K6" s="879" t="s">
        <v>814</v>
      </c>
      <c r="L6" s="879" t="s">
        <v>815</v>
      </c>
      <c r="M6" s="879" t="s">
        <v>476</v>
      </c>
    </row>
    <row r="7" spans="1:13" s="877" customFormat="1" ht="17.100000000000001" customHeight="1">
      <c r="A7" s="880" t="s">
        <v>33</v>
      </c>
      <c r="B7" s="879" t="s">
        <v>816</v>
      </c>
      <c r="C7" s="879" t="s">
        <v>817</v>
      </c>
      <c r="D7" s="879" t="s">
        <v>818</v>
      </c>
      <c r="E7" s="879" t="s">
        <v>819</v>
      </c>
      <c r="F7" s="879" t="s">
        <v>820</v>
      </c>
      <c r="G7" s="879" t="s">
        <v>821</v>
      </c>
      <c r="H7" s="879" t="s">
        <v>822</v>
      </c>
      <c r="I7" s="879" t="s">
        <v>823</v>
      </c>
      <c r="J7" s="879" t="s">
        <v>824</v>
      </c>
      <c r="K7" s="879" t="s">
        <v>825</v>
      </c>
      <c r="L7" s="879" t="s">
        <v>826</v>
      </c>
      <c r="M7" s="879" t="s">
        <v>32</v>
      </c>
    </row>
    <row r="8" spans="1:13" s="877" customFormat="1" ht="17.100000000000001" customHeight="1">
      <c r="A8" s="881"/>
      <c r="B8" s="882"/>
      <c r="C8" s="882"/>
      <c r="D8" s="882"/>
      <c r="E8" s="882"/>
      <c r="F8" s="882"/>
      <c r="G8" s="882"/>
      <c r="H8" s="882"/>
      <c r="I8" s="882"/>
      <c r="J8" s="882"/>
      <c r="K8" s="882"/>
      <c r="L8" s="882"/>
      <c r="M8" s="883"/>
    </row>
    <row r="9" spans="1:13" s="886" customFormat="1" ht="17.100000000000001" customHeight="1">
      <c r="A9" s="884" t="s">
        <v>522</v>
      </c>
      <c r="B9" s="885">
        <v>3690462.8299000002</v>
      </c>
      <c r="C9" s="885">
        <v>11938087.853999998</v>
      </c>
      <c r="D9" s="885">
        <v>19485831.523000002</v>
      </c>
      <c r="E9" s="885">
        <v>28070842.425000001</v>
      </c>
      <c r="F9" s="885">
        <v>37230049.554000005</v>
      </c>
      <c r="G9" s="885">
        <v>33920918.482999995</v>
      </c>
      <c r="H9" s="885">
        <v>56663803.281999998</v>
      </c>
      <c r="I9" s="885">
        <v>48745584.859999999</v>
      </c>
      <c r="J9" s="885">
        <v>102501666.36399999</v>
      </c>
      <c r="K9" s="885">
        <v>74020098.717000008</v>
      </c>
      <c r="L9" s="885">
        <v>153165730.21599999</v>
      </c>
      <c r="M9" s="884">
        <f>SUM(B9:L9)</f>
        <v>569433076.10790002</v>
      </c>
    </row>
    <row r="10" spans="1:13" s="877" customFormat="1" ht="17.100000000000001" customHeight="1">
      <c r="A10" s="887" t="s">
        <v>526</v>
      </c>
      <c r="B10" s="888">
        <v>7026892.4261999996</v>
      </c>
      <c r="C10" s="888">
        <v>20303568.449000001</v>
      </c>
      <c r="D10" s="888">
        <v>31878439.433000002</v>
      </c>
      <c r="E10" s="888">
        <v>43690596</v>
      </c>
      <c r="F10" s="888">
        <v>54010989.274000004</v>
      </c>
      <c r="G10" s="888">
        <v>62270736.461999997</v>
      </c>
      <c r="H10" s="888">
        <v>135334778.19999999</v>
      </c>
      <c r="I10" s="888">
        <v>134345008.25999999</v>
      </c>
      <c r="J10" s="888">
        <v>338794592.41100001</v>
      </c>
      <c r="K10" s="888">
        <v>327230149.76499999</v>
      </c>
      <c r="L10" s="888">
        <v>2691537960.0679998</v>
      </c>
      <c r="M10" s="889">
        <f>SUM(B10:L10)</f>
        <v>3846423710.7481999</v>
      </c>
    </row>
    <row r="11" spans="1:13" s="877" customFormat="1" ht="17.100000000000001" customHeight="1">
      <c r="A11" s="887" t="s">
        <v>530</v>
      </c>
      <c r="B11" s="888">
        <v>1550626.463</v>
      </c>
      <c r="C11" s="888">
        <v>4515149.3440000005</v>
      </c>
      <c r="D11" s="888">
        <v>7319294.8200000003</v>
      </c>
      <c r="E11" s="888">
        <v>9819632.5889999997</v>
      </c>
      <c r="F11" s="888">
        <v>11253048.386</v>
      </c>
      <c r="G11" s="888">
        <v>12387624.409000002</v>
      </c>
      <c r="H11" s="888">
        <v>24748062.559</v>
      </c>
      <c r="I11" s="888">
        <v>25595062.736000001</v>
      </c>
      <c r="J11" s="888">
        <v>58596012.490000002</v>
      </c>
      <c r="K11" s="888">
        <v>52952823</v>
      </c>
      <c r="L11" s="888">
        <v>80591782.478</v>
      </c>
      <c r="M11" s="889">
        <f>SUM(B11:L11)</f>
        <v>289329119.27399999</v>
      </c>
    </row>
    <row r="12" spans="1:13" s="877" customFormat="1" ht="17.100000000000001" customHeight="1">
      <c r="A12" s="887" t="s">
        <v>534</v>
      </c>
      <c r="B12" s="888">
        <v>973774.40199999989</v>
      </c>
      <c r="C12" s="888">
        <v>3539204.1040000003</v>
      </c>
      <c r="D12" s="888">
        <v>5356534.3790000007</v>
      </c>
      <c r="E12" s="888">
        <v>8221459.2385999998</v>
      </c>
      <c r="F12" s="888">
        <v>9557300.1789999995</v>
      </c>
      <c r="G12" s="888">
        <v>9976873.722000001</v>
      </c>
      <c r="H12" s="888">
        <v>23098744.780999999</v>
      </c>
      <c r="I12" s="888">
        <v>21440711</v>
      </c>
      <c r="J12" s="888">
        <v>50138027.287</v>
      </c>
      <c r="K12" s="888">
        <v>38834284</v>
      </c>
      <c r="L12" s="888">
        <v>67931378.495999992</v>
      </c>
      <c r="M12" s="889">
        <f>SUM(B12:L12)</f>
        <v>239068291.58859998</v>
      </c>
    </row>
    <row r="13" spans="1:13" s="877" customFormat="1" ht="17.100000000000001" customHeight="1">
      <c r="A13" s="887" t="s">
        <v>538</v>
      </c>
      <c r="B13" s="888">
        <v>2249395.1069999998</v>
      </c>
      <c r="C13" s="888">
        <v>8403893.1339999996</v>
      </c>
      <c r="D13" s="888">
        <v>14904770.73</v>
      </c>
      <c r="E13" s="888">
        <v>19375688.576000001</v>
      </c>
      <c r="F13" s="888">
        <v>23983655.870999999</v>
      </c>
      <c r="G13" s="888">
        <v>24519221.399999999</v>
      </c>
      <c r="H13" s="888">
        <v>52255657.588</v>
      </c>
      <c r="I13" s="888">
        <v>50016532.454999998</v>
      </c>
      <c r="J13" s="888">
        <v>112780643.559</v>
      </c>
      <c r="K13" s="888">
        <v>100270528.81999999</v>
      </c>
      <c r="L13" s="888">
        <v>130516587</v>
      </c>
      <c r="M13" s="889">
        <f>SUM(B13:L13)</f>
        <v>539276574.24000001</v>
      </c>
    </row>
    <row r="14" spans="1:13" s="877" customFormat="1" ht="17.100000000000001" customHeight="1">
      <c r="A14" s="887"/>
      <c r="B14" s="888"/>
      <c r="C14" s="888"/>
      <c r="D14" s="888"/>
      <c r="E14" s="888"/>
      <c r="F14" s="888"/>
      <c r="G14" s="888"/>
      <c r="H14" s="888"/>
      <c r="I14" s="888"/>
      <c r="J14" s="888"/>
      <c r="K14" s="888"/>
      <c r="L14" s="888"/>
      <c r="M14" s="890"/>
    </row>
    <row r="15" spans="1:13" s="877" customFormat="1" ht="17.100000000000001" customHeight="1">
      <c r="A15" s="887" t="s">
        <v>542</v>
      </c>
      <c r="B15" s="888">
        <v>1323921.585</v>
      </c>
      <c r="C15" s="888">
        <v>4437218.2779999999</v>
      </c>
      <c r="D15" s="888">
        <v>7617803.3690000009</v>
      </c>
      <c r="E15" s="888">
        <v>9762799.068</v>
      </c>
      <c r="F15" s="888">
        <v>11424148.186999999</v>
      </c>
      <c r="G15" s="888">
        <v>12661727.991</v>
      </c>
      <c r="H15" s="888">
        <v>23348548.649</v>
      </c>
      <c r="I15" s="888">
        <v>22820521.32</v>
      </c>
      <c r="J15" s="888">
        <v>51286315.377999999</v>
      </c>
      <c r="K15" s="888">
        <v>46941569.189000003</v>
      </c>
      <c r="L15" s="888">
        <v>64894116.314999998</v>
      </c>
      <c r="M15" s="889">
        <f>SUM(B15:L15)</f>
        <v>256518689.329</v>
      </c>
    </row>
    <row r="16" spans="1:13" s="877" customFormat="1" ht="17.100000000000001" customHeight="1">
      <c r="A16" s="887" t="s">
        <v>546</v>
      </c>
      <c r="B16" s="888">
        <v>14020993.342500001</v>
      </c>
      <c r="C16" s="888">
        <v>42345745.760499999</v>
      </c>
      <c r="D16" s="888">
        <v>65846093.582999997</v>
      </c>
      <c r="E16" s="888">
        <v>96505434.841000006</v>
      </c>
      <c r="F16" s="888">
        <v>117808721.95699999</v>
      </c>
      <c r="G16" s="888">
        <v>129090723.052</v>
      </c>
      <c r="H16" s="888">
        <v>323694995.426</v>
      </c>
      <c r="I16" s="888">
        <v>431679723.54000002</v>
      </c>
      <c r="J16" s="888">
        <v>1207821707.872</v>
      </c>
      <c r="K16" s="888">
        <v>1130383821.744</v>
      </c>
      <c r="L16" s="888">
        <v>7855717413.7089996</v>
      </c>
      <c r="M16" s="889">
        <f>SUM(B16:L16)</f>
        <v>11414915374.827</v>
      </c>
    </row>
    <row r="17" spans="1:13" s="877" customFormat="1" ht="17.100000000000001" customHeight="1">
      <c r="A17" s="887" t="s">
        <v>550</v>
      </c>
      <c r="B17" s="888">
        <v>5416272.4977000002</v>
      </c>
      <c r="C17" s="888">
        <v>17610370.23</v>
      </c>
      <c r="D17" s="888">
        <v>30197869.145999998</v>
      </c>
      <c r="E17" s="888">
        <v>39663640.553999998</v>
      </c>
      <c r="F17" s="888">
        <v>49965639.435000002</v>
      </c>
      <c r="G17" s="888">
        <v>58324521.149999999</v>
      </c>
      <c r="H17" s="888">
        <v>129634298.87799999</v>
      </c>
      <c r="I17" s="888">
        <v>128427933.919</v>
      </c>
      <c r="J17" s="888">
        <v>314614535.96700001</v>
      </c>
      <c r="K17" s="888">
        <v>262891097.89199999</v>
      </c>
      <c r="L17" s="888">
        <v>413516276.46799999</v>
      </c>
      <c r="M17" s="889">
        <f>SUM(B17:L17)</f>
        <v>1450262456.1366999</v>
      </c>
    </row>
    <row r="18" spans="1:13" s="877" customFormat="1" ht="17.100000000000001" customHeight="1">
      <c r="A18" s="887" t="s">
        <v>554</v>
      </c>
      <c r="B18" s="888">
        <v>563788.08100000001</v>
      </c>
      <c r="C18" s="888">
        <v>1631341.7220000001</v>
      </c>
      <c r="D18" s="888">
        <v>2368189.6320000002</v>
      </c>
      <c r="E18" s="888">
        <v>3853250.2960000001</v>
      </c>
      <c r="F18" s="888">
        <v>4602700.023</v>
      </c>
      <c r="G18" s="888">
        <v>5025114.8790000007</v>
      </c>
      <c r="H18" s="888">
        <v>8785445.2760000005</v>
      </c>
      <c r="I18" s="888">
        <v>8549505.9629999995</v>
      </c>
      <c r="J18" s="888">
        <v>17703478.926999997</v>
      </c>
      <c r="K18" s="888">
        <v>12827847.564000001</v>
      </c>
      <c r="L18" s="888">
        <v>31038162.658999998</v>
      </c>
      <c r="M18" s="889">
        <f>SUM(B18:L18)</f>
        <v>96948825.022</v>
      </c>
    </row>
    <row r="19" spans="1:13" s="877" customFormat="1" ht="17.100000000000001" customHeight="1">
      <c r="A19" s="887" t="s">
        <v>558</v>
      </c>
      <c r="B19" s="888">
        <v>5340522.1899999995</v>
      </c>
      <c r="C19" s="888">
        <v>16517483.243000001</v>
      </c>
      <c r="D19" s="888">
        <v>26653250.469999999</v>
      </c>
      <c r="E19" s="888">
        <v>35976123.755999997</v>
      </c>
      <c r="F19" s="888">
        <v>43854649.980999999</v>
      </c>
      <c r="G19" s="888">
        <v>49319604.678999998</v>
      </c>
      <c r="H19" s="888">
        <v>105124624.111</v>
      </c>
      <c r="I19" s="888">
        <v>106229805.553</v>
      </c>
      <c r="J19" s="888">
        <v>282041379.61299998</v>
      </c>
      <c r="K19" s="888">
        <v>250784678.18200001</v>
      </c>
      <c r="L19" s="888">
        <v>705314059.94200003</v>
      </c>
      <c r="M19" s="889">
        <f>SUM(B19:L19)</f>
        <v>1627156181.72</v>
      </c>
    </row>
    <row r="20" spans="1:13" s="877" customFormat="1" ht="17.100000000000001" customHeight="1">
      <c r="A20" s="887"/>
      <c r="B20" s="888"/>
      <c r="C20" s="888"/>
      <c r="D20" s="888"/>
      <c r="E20" s="888"/>
      <c r="F20" s="888"/>
      <c r="G20" s="888"/>
      <c r="H20" s="888"/>
      <c r="I20" s="888"/>
      <c r="J20" s="888"/>
      <c r="K20" s="888"/>
      <c r="L20" s="888"/>
      <c r="M20" s="889"/>
    </row>
    <row r="21" spans="1:13" s="877" customFormat="1" ht="17.100000000000001" customHeight="1">
      <c r="A21" s="887" t="s">
        <v>562</v>
      </c>
      <c r="B21" s="888">
        <v>476681.11100000003</v>
      </c>
      <c r="C21" s="888">
        <v>1498180.825</v>
      </c>
      <c r="D21" s="888">
        <v>2832247.8</v>
      </c>
      <c r="E21" s="888">
        <v>3748211.4079999998</v>
      </c>
      <c r="F21" s="888">
        <v>3804537.4450000003</v>
      </c>
      <c r="G21" s="888">
        <v>4479418.2</v>
      </c>
      <c r="H21" s="888">
        <v>10497795.27</v>
      </c>
      <c r="I21" s="888">
        <v>10420047</v>
      </c>
      <c r="J21" s="888">
        <v>24373298.965999998</v>
      </c>
      <c r="K21" s="888">
        <v>17998551</v>
      </c>
      <c r="L21" s="888">
        <v>25674116.462000001</v>
      </c>
      <c r="M21" s="889">
        <f>SUM(B21:L21)</f>
        <v>105803085.487</v>
      </c>
    </row>
    <row r="22" spans="1:13" s="877" customFormat="1" ht="17.100000000000001" customHeight="1">
      <c r="A22" s="887" t="s">
        <v>566</v>
      </c>
      <c r="B22" s="888">
        <v>2495500.8880000003</v>
      </c>
      <c r="C22" s="888">
        <v>7307204.5920000002</v>
      </c>
      <c r="D22" s="888">
        <v>12212676.214000002</v>
      </c>
      <c r="E22" s="888">
        <v>15364317.09</v>
      </c>
      <c r="F22" s="888">
        <v>19225725.170000002</v>
      </c>
      <c r="G22" s="888">
        <v>20932702.328000002</v>
      </c>
      <c r="H22" s="888">
        <v>47142310.263999999</v>
      </c>
      <c r="I22" s="888">
        <v>50028547.311999999</v>
      </c>
      <c r="J22" s="888">
        <v>132667963.83400001</v>
      </c>
      <c r="K22" s="888">
        <v>132164373.31999999</v>
      </c>
      <c r="L22" s="888">
        <v>350225769.78000003</v>
      </c>
      <c r="M22" s="889">
        <f>SUM(B22:L22)</f>
        <v>789767090.79200006</v>
      </c>
    </row>
    <row r="23" spans="1:13" s="877" customFormat="1" ht="17.100000000000001" customHeight="1">
      <c r="A23" s="887" t="s">
        <v>570</v>
      </c>
      <c r="B23" s="888">
        <v>1150676.088</v>
      </c>
      <c r="C23" s="888">
        <v>4372669.5559999999</v>
      </c>
      <c r="D23" s="888">
        <v>7050765.0140000004</v>
      </c>
      <c r="E23" s="888">
        <v>11087870.287</v>
      </c>
      <c r="F23" s="888">
        <v>12733501.658</v>
      </c>
      <c r="G23" s="888">
        <v>14077713.507999999</v>
      </c>
      <c r="H23" s="888">
        <v>29834159.329999998</v>
      </c>
      <c r="I23" s="888">
        <v>24417979.497000001</v>
      </c>
      <c r="J23" s="888">
        <v>41501738.204999998</v>
      </c>
      <c r="K23" s="888">
        <v>29924715.866</v>
      </c>
      <c r="L23" s="888">
        <v>43205440.504000001</v>
      </c>
      <c r="M23" s="889">
        <f>SUM(B23:L23)</f>
        <v>219357229.51300001</v>
      </c>
    </row>
    <row r="24" spans="1:13" s="877" customFormat="1" ht="17.100000000000001" customHeight="1">
      <c r="A24" s="887" t="s">
        <v>574</v>
      </c>
      <c r="B24" s="888">
        <v>2194310.7239999999</v>
      </c>
      <c r="C24" s="888">
        <v>5523292.4120000005</v>
      </c>
      <c r="D24" s="888">
        <v>10307480.502999999</v>
      </c>
      <c r="E24" s="888">
        <v>11694383.556</v>
      </c>
      <c r="F24" s="888">
        <v>12544539.063000001</v>
      </c>
      <c r="G24" s="888">
        <v>13567873.524</v>
      </c>
      <c r="H24" s="888">
        <v>27780090.840000004</v>
      </c>
      <c r="I24" s="888">
        <v>26685985.967</v>
      </c>
      <c r="J24" s="888">
        <v>72884362.119000003</v>
      </c>
      <c r="K24" s="888">
        <v>61394457.777999997</v>
      </c>
      <c r="L24" s="888">
        <v>105171320.50399999</v>
      </c>
      <c r="M24" s="889">
        <f>SUM(B24:L24)</f>
        <v>349748096.99000001</v>
      </c>
    </row>
    <row r="25" spans="1:13" s="877" customFormat="1" ht="17.100000000000001" customHeight="1">
      <c r="A25" s="887" t="s">
        <v>578</v>
      </c>
      <c r="B25" s="888">
        <v>1060833.5450000002</v>
      </c>
      <c r="C25" s="888">
        <v>3825514.2869999995</v>
      </c>
      <c r="D25" s="888">
        <v>6133976.9509999994</v>
      </c>
      <c r="E25" s="888">
        <v>9595345.824000001</v>
      </c>
      <c r="F25" s="888">
        <v>11390122.374</v>
      </c>
      <c r="G25" s="888">
        <v>14359165.450000001</v>
      </c>
      <c r="H25" s="888">
        <v>27687827.173999999</v>
      </c>
      <c r="I25" s="888">
        <v>20653454.928999998</v>
      </c>
      <c r="J25" s="888">
        <v>43129012.163999997</v>
      </c>
      <c r="K25" s="888">
        <v>29172784.181000002</v>
      </c>
      <c r="L25" s="888">
        <v>52072003.488000005</v>
      </c>
      <c r="M25" s="889">
        <f>SUM(B25:L25)</f>
        <v>219080040.36700001</v>
      </c>
    </row>
    <row r="26" spans="1:13" s="877" customFormat="1" ht="17.100000000000001" customHeight="1">
      <c r="A26" s="887"/>
      <c r="B26" s="888"/>
      <c r="C26" s="888"/>
      <c r="D26" s="888"/>
      <c r="E26" s="888"/>
      <c r="F26" s="888"/>
      <c r="G26" s="888"/>
      <c r="H26" s="888"/>
      <c r="I26" s="888"/>
      <c r="J26" s="888"/>
      <c r="K26" s="888"/>
      <c r="L26" s="888"/>
      <c r="M26" s="889"/>
    </row>
    <row r="27" spans="1:13" s="877" customFormat="1" ht="17.100000000000001" customHeight="1">
      <c r="A27" s="887" t="s">
        <v>582</v>
      </c>
      <c r="B27" s="888">
        <v>4371727.5752000008</v>
      </c>
      <c r="C27" s="888">
        <v>15459889.215000002</v>
      </c>
      <c r="D27" s="888">
        <v>25568318.626000002</v>
      </c>
      <c r="E27" s="888">
        <v>34414814.621000007</v>
      </c>
      <c r="F27" s="888">
        <v>40335876.843999997</v>
      </c>
      <c r="G27" s="888">
        <v>41735821.730000004</v>
      </c>
      <c r="H27" s="888">
        <v>90748451.488999993</v>
      </c>
      <c r="I27" s="888">
        <v>85520516.009000003</v>
      </c>
      <c r="J27" s="888">
        <v>192953693.07300001</v>
      </c>
      <c r="K27" s="888">
        <v>155854912.486</v>
      </c>
      <c r="L27" s="888">
        <v>257906798.31819999</v>
      </c>
      <c r="M27" s="889">
        <f>SUM(B27:L27)</f>
        <v>944870819.98640001</v>
      </c>
    </row>
    <row r="28" spans="1:13" s="877" customFormat="1" ht="17.100000000000001" customHeight="1">
      <c r="A28" s="887" t="s">
        <v>584</v>
      </c>
      <c r="B28" s="888">
        <v>1999658.7939999998</v>
      </c>
      <c r="C28" s="888">
        <v>7358184.2530000005</v>
      </c>
      <c r="D28" s="888">
        <v>12169708.570999999</v>
      </c>
      <c r="E28" s="888">
        <v>14745083.263</v>
      </c>
      <c r="F28" s="888">
        <v>17816268.153999999</v>
      </c>
      <c r="G28" s="888">
        <v>20969881.75</v>
      </c>
      <c r="H28" s="888">
        <v>50441568.828000002</v>
      </c>
      <c r="I28" s="888">
        <v>49982460.828999996</v>
      </c>
      <c r="J28" s="888">
        <v>110166690.906</v>
      </c>
      <c r="K28" s="888">
        <v>98205863.832000002</v>
      </c>
      <c r="L28" s="888">
        <v>187558623.634</v>
      </c>
      <c r="M28" s="889">
        <f>SUM(B28:L28)</f>
        <v>571413992.81400001</v>
      </c>
    </row>
    <row r="29" spans="1:13" s="877" customFormat="1" ht="17.100000000000001" customHeight="1">
      <c r="A29" s="887" t="s">
        <v>587</v>
      </c>
      <c r="B29" s="888">
        <v>2613225.7030000002</v>
      </c>
      <c r="C29" s="888">
        <v>8858711.9940000009</v>
      </c>
      <c r="D29" s="888">
        <v>15353774.734999999</v>
      </c>
      <c r="E29" s="888">
        <v>19946268.901000001</v>
      </c>
      <c r="F29" s="888">
        <v>24563646.083000001</v>
      </c>
      <c r="G29" s="888">
        <v>23573451.623</v>
      </c>
      <c r="H29" s="888">
        <v>45899484.137000009</v>
      </c>
      <c r="I29" s="888">
        <v>43279677.510000005</v>
      </c>
      <c r="J29" s="888">
        <v>89836625.778999999</v>
      </c>
      <c r="K29" s="888">
        <v>49567585.997000001</v>
      </c>
      <c r="L29" s="888">
        <v>64446224.175999999</v>
      </c>
      <c r="M29" s="889">
        <f>SUM(B29:L29)</f>
        <v>387938676.63799995</v>
      </c>
    </row>
    <row r="30" spans="1:13" s="877" customFormat="1" ht="17.100000000000001" customHeight="1">
      <c r="A30" s="887" t="s">
        <v>590</v>
      </c>
      <c r="B30" s="888">
        <v>563936.97600000002</v>
      </c>
      <c r="C30" s="888">
        <v>2067691.3970000001</v>
      </c>
      <c r="D30" s="888">
        <v>3595239.9579999996</v>
      </c>
      <c r="E30" s="888">
        <v>4298582.784</v>
      </c>
      <c r="F30" s="888">
        <v>7100090.1210000003</v>
      </c>
      <c r="G30" s="888">
        <v>6499083.8909999998</v>
      </c>
      <c r="H30" s="888">
        <v>14006516.972999999</v>
      </c>
      <c r="I30" s="888">
        <v>13220771.159</v>
      </c>
      <c r="J30" s="888">
        <v>27502146.283</v>
      </c>
      <c r="K30" s="888">
        <v>22994771</v>
      </c>
      <c r="L30" s="888">
        <v>47462741</v>
      </c>
      <c r="M30" s="889">
        <f>SUM(B30:L30)</f>
        <v>149311571.542</v>
      </c>
    </row>
    <row r="31" spans="1:13" s="877" customFormat="1" ht="17.100000000000001" customHeight="1">
      <c r="A31" s="887" t="s">
        <v>593</v>
      </c>
      <c r="B31" s="888">
        <v>1171407.0530000001</v>
      </c>
      <c r="C31" s="888">
        <v>4072571.0320000001</v>
      </c>
      <c r="D31" s="888">
        <v>6893300.8790000007</v>
      </c>
      <c r="E31" s="888">
        <v>8738276.5449999999</v>
      </c>
      <c r="F31" s="888">
        <v>9899462.7400000002</v>
      </c>
      <c r="G31" s="888">
        <v>11181320.818</v>
      </c>
      <c r="H31" s="888">
        <v>20608326.138</v>
      </c>
      <c r="I31" s="888">
        <v>16326975.175999999</v>
      </c>
      <c r="J31" s="888">
        <v>35985675.753999993</v>
      </c>
      <c r="K31" s="888">
        <v>24239331.614</v>
      </c>
      <c r="L31" s="888">
        <v>37781521.656000003</v>
      </c>
      <c r="M31" s="889">
        <f>SUM(B31:L31)</f>
        <v>176898169.40499997</v>
      </c>
    </row>
    <row r="32" spans="1:13" s="877" customFormat="1" ht="17.100000000000001" customHeight="1">
      <c r="A32" s="887"/>
      <c r="B32" s="888"/>
      <c r="C32" s="888"/>
      <c r="D32" s="888"/>
      <c r="E32" s="888"/>
      <c r="F32" s="888"/>
      <c r="G32" s="888"/>
      <c r="H32" s="888"/>
      <c r="I32" s="888"/>
      <c r="J32" s="888"/>
      <c r="K32" s="888"/>
      <c r="L32" s="888"/>
      <c r="M32" s="889"/>
    </row>
    <row r="33" spans="1:13" s="877" customFormat="1" ht="17.100000000000001" customHeight="1">
      <c r="A33" s="887" t="s">
        <v>595</v>
      </c>
      <c r="B33" s="888">
        <v>23462076.9012</v>
      </c>
      <c r="C33" s="888">
        <v>70303733.147</v>
      </c>
      <c r="D33" s="888">
        <v>110621760.22</v>
      </c>
      <c r="E33" s="888">
        <v>141140767.86699998</v>
      </c>
      <c r="F33" s="888">
        <v>170432884.77829999</v>
      </c>
      <c r="G33" s="888">
        <v>200598204.44600004</v>
      </c>
      <c r="H33" s="888">
        <v>478308611.67800003</v>
      </c>
      <c r="I33" s="888">
        <v>504349599.27400005</v>
      </c>
      <c r="J33" s="888">
        <v>1268893845.165</v>
      </c>
      <c r="K33" s="888">
        <v>1264221351.339</v>
      </c>
      <c r="L33" s="888">
        <v>4507870515.0019999</v>
      </c>
      <c r="M33" s="889">
        <f>SUM(B33:L33)</f>
        <v>8740203349.8175011</v>
      </c>
    </row>
    <row r="34" spans="1:13" s="877" customFormat="1" ht="17.100000000000001" customHeight="1">
      <c r="A34" s="887" t="s">
        <v>598</v>
      </c>
      <c r="B34" s="888">
        <v>1168450.203</v>
      </c>
      <c r="C34" s="888">
        <v>3397205.4459999995</v>
      </c>
      <c r="D34" s="888">
        <v>4591915.9519999996</v>
      </c>
      <c r="E34" s="888">
        <v>6568308.273</v>
      </c>
      <c r="F34" s="888">
        <v>7255837.8559999997</v>
      </c>
      <c r="G34" s="888">
        <v>8224761</v>
      </c>
      <c r="H34" s="888">
        <v>19068678.233000003</v>
      </c>
      <c r="I34" s="888">
        <v>19488559.989999998</v>
      </c>
      <c r="J34" s="888">
        <v>56290192.484000005</v>
      </c>
      <c r="K34" s="888">
        <v>52303015.664000005</v>
      </c>
      <c r="L34" s="888">
        <v>266406384</v>
      </c>
      <c r="M34" s="889">
        <f>SUM(B34:L34)</f>
        <v>444763309.10100001</v>
      </c>
    </row>
    <row r="35" spans="1:13" s="877" customFormat="1" ht="17.100000000000001" customHeight="1">
      <c r="A35" s="887" t="s">
        <v>600</v>
      </c>
      <c r="B35" s="888">
        <v>346629.22700000001</v>
      </c>
      <c r="C35" s="888">
        <v>1391987</v>
      </c>
      <c r="D35" s="888">
        <v>2139858</v>
      </c>
      <c r="E35" s="888">
        <v>3019813.7230000002</v>
      </c>
      <c r="F35" s="888">
        <v>3526231</v>
      </c>
      <c r="G35" s="888">
        <v>4175015</v>
      </c>
      <c r="H35" s="888">
        <v>9045105</v>
      </c>
      <c r="I35" s="888">
        <v>7707550</v>
      </c>
      <c r="J35" s="888">
        <v>18641242.486000001</v>
      </c>
      <c r="K35" s="888">
        <v>16029954.255999999</v>
      </c>
      <c r="L35" s="888">
        <v>19946820</v>
      </c>
      <c r="M35" s="889">
        <f>SUM(B35:L35)</f>
        <v>85970205.692000002</v>
      </c>
    </row>
    <row r="36" spans="1:13" s="877" customFormat="1" ht="17.100000000000001" customHeight="1">
      <c r="A36" s="887" t="s">
        <v>603</v>
      </c>
      <c r="B36" s="888">
        <v>3300232.1507999999</v>
      </c>
      <c r="C36" s="888">
        <v>10786194.022</v>
      </c>
      <c r="D36" s="888">
        <v>18008431.735999998</v>
      </c>
      <c r="E36" s="888">
        <v>23257090.634999998</v>
      </c>
      <c r="F36" s="888">
        <v>28590560.715</v>
      </c>
      <c r="G36" s="888">
        <v>31237524.412999999</v>
      </c>
      <c r="H36" s="888">
        <v>69542452.425000012</v>
      </c>
      <c r="I36" s="888">
        <v>70129431.618000001</v>
      </c>
      <c r="J36" s="888">
        <v>168081264.38099998</v>
      </c>
      <c r="K36" s="888">
        <v>156833060.55399999</v>
      </c>
      <c r="L36" s="888">
        <v>462361993.30800003</v>
      </c>
      <c r="M36" s="889">
        <f>SUM(B36:L36)</f>
        <v>1042128235.9578001</v>
      </c>
    </row>
    <row r="37" spans="1:13" s="877" customFormat="1" ht="17.100000000000001" customHeight="1">
      <c r="A37" s="887" t="s">
        <v>606</v>
      </c>
      <c r="B37" s="888">
        <v>743760.53399999999</v>
      </c>
      <c r="C37" s="888">
        <v>2174255.9619999998</v>
      </c>
      <c r="D37" s="888">
        <v>4260336.82</v>
      </c>
      <c r="E37" s="888">
        <v>6516601.5219999999</v>
      </c>
      <c r="F37" s="888">
        <v>7091452.0349999992</v>
      </c>
      <c r="G37" s="888">
        <v>8469736.4480000008</v>
      </c>
      <c r="H37" s="888">
        <v>17573668.261999998</v>
      </c>
      <c r="I37" s="888">
        <v>12668879.440000001</v>
      </c>
      <c r="J37" s="888">
        <v>28915466.906999998</v>
      </c>
      <c r="K37" s="888">
        <v>20872687</v>
      </c>
      <c r="L37" s="888">
        <v>27931217</v>
      </c>
      <c r="M37" s="889">
        <f>SUM(B37:L37)</f>
        <v>137218061.93000001</v>
      </c>
    </row>
    <row r="38" spans="1:13" s="877" customFormat="1" ht="17.100000000000001" customHeight="1">
      <c r="A38" s="887"/>
      <c r="B38" s="888"/>
      <c r="C38" s="888"/>
      <c r="D38" s="888"/>
      <c r="E38" s="888"/>
      <c r="F38" s="888"/>
      <c r="G38" s="888"/>
      <c r="H38" s="888"/>
      <c r="I38" s="888"/>
      <c r="J38" s="888"/>
      <c r="K38" s="888"/>
      <c r="L38" s="888"/>
      <c r="M38" s="889"/>
    </row>
    <row r="39" spans="1:13" s="877" customFormat="1" ht="17.100000000000001" customHeight="1">
      <c r="A39" s="887" t="s">
        <v>609</v>
      </c>
      <c r="B39" s="888">
        <v>1311994.5720000002</v>
      </c>
      <c r="C39" s="888">
        <v>4050664.5810000002</v>
      </c>
      <c r="D39" s="888">
        <v>5904954.8430000003</v>
      </c>
      <c r="E39" s="888">
        <v>8567146.5080000013</v>
      </c>
      <c r="F39" s="888">
        <v>7956288.6269999994</v>
      </c>
      <c r="G39" s="888">
        <v>8891930</v>
      </c>
      <c r="H39" s="888">
        <v>18756612.229000002</v>
      </c>
      <c r="I39" s="888">
        <v>16897032.103</v>
      </c>
      <c r="J39" s="888">
        <v>47501224.255999997</v>
      </c>
      <c r="K39" s="888">
        <v>35273650.767999999</v>
      </c>
      <c r="L39" s="888">
        <v>47630340.956000008</v>
      </c>
      <c r="M39" s="889">
        <f>SUM(B39:L39)</f>
        <v>202741839.44299999</v>
      </c>
    </row>
    <row r="40" spans="1:13" s="877" customFormat="1" ht="17.100000000000001" customHeight="1">
      <c r="A40" s="887" t="s">
        <v>612</v>
      </c>
      <c r="B40" s="888">
        <v>1696486.2350000001</v>
      </c>
      <c r="C40" s="888">
        <v>6382460.8990000002</v>
      </c>
      <c r="D40" s="888">
        <v>10970900.653000001</v>
      </c>
      <c r="E40" s="888">
        <v>15121527.806</v>
      </c>
      <c r="F40" s="888">
        <v>18897105</v>
      </c>
      <c r="G40" s="888">
        <v>22178843.456999999</v>
      </c>
      <c r="H40" s="888">
        <v>49852379.615999997</v>
      </c>
      <c r="I40" s="888">
        <v>43255450.159000002</v>
      </c>
      <c r="J40" s="888">
        <v>104503629.60800001</v>
      </c>
      <c r="K40" s="888">
        <v>90117712.069000006</v>
      </c>
      <c r="L40" s="888">
        <v>141328872.21599999</v>
      </c>
      <c r="M40" s="889">
        <f>SUM(B40:L40)</f>
        <v>504305367.71799994</v>
      </c>
    </row>
    <row r="41" spans="1:13" s="877" customFormat="1" ht="17.100000000000001" customHeight="1">
      <c r="A41" s="887" t="s">
        <v>615</v>
      </c>
      <c r="B41" s="888">
        <v>965409.17200000002</v>
      </c>
      <c r="C41" s="888">
        <v>3367924.2800000003</v>
      </c>
      <c r="D41" s="888">
        <v>5671671.0519999992</v>
      </c>
      <c r="E41" s="888">
        <v>7607101.5640000002</v>
      </c>
      <c r="F41" s="888">
        <v>9156233.6830000002</v>
      </c>
      <c r="G41" s="888">
        <v>10214106.819</v>
      </c>
      <c r="H41" s="888">
        <v>20142459.016000003</v>
      </c>
      <c r="I41" s="888">
        <v>19398370.682</v>
      </c>
      <c r="J41" s="888">
        <v>38873283.340999998</v>
      </c>
      <c r="K41" s="888">
        <v>28857567.682999998</v>
      </c>
      <c r="L41" s="888">
        <v>57567016.439000003</v>
      </c>
      <c r="M41" s="889">
        <f>SUM(B41:L41)</f>
        <v>201821143.73100001</v>
      </c>
    </row>
    <row r="42" spans="1:13" s="877" customFormat="1" ht="17.100000000000001" customHeight="1">
      <c r="A42" s="881" t="s">
        <v>618</v>
      </c>
      <c r="B42" s="888">
        <v>77194097.102609992</v>
      </c>
      <c r="C42" s="888">
        <v>213445174.45520002</v>
      </c>
      <c r="D42" s="888">
        <v>318538047.67680001</v>
      </c>
      <c r="E42" s="888">
        <v>422964595.95170003</v>
      </c>
      <c r="F42" s="888">
        <v>497692107.18800002</v>
      </c>
      <c r="G42" s="888">
        <v>564016950.03100002</v>
      </c>
      <c r="H42" s="888">
        <v>1293365928.8564999</v>
      </c>
      <c r="I42" s="888">
        <v>1456987078.671</v>
      </c>
      <c r="J42" s="888">
        <v>3982307673.9893007</v>
      </c>
      <c r="K42" s="888">
        <v>4217436233.5299997</v>
      </c>
      <c r="L42" s="888">
        <v>38209344704.232002</v>
      </c>
      <c r="M42" s="889">
        <f>SUM(B42:L42)</f>
        <v>51253292591.684113</v>
      </c>
    </row>
    <row r="43" spans="1:13" s="877" customFormat="1" ht="17.100000000000001" customHeight="1">
      <c r="A43" s="881" t="s">
        <v>621</v>
      </c>
      <c r="B43" s="891">
        <v>4930084.1880000001</v>
      </c>
      <c r="C43" s="891">
        <v>13987325.729</v>
      </c>
      <c r="D43" s="891">
        <v>21270052.044</v>
      </c>
      <c r="E43" s="891">
        <v>26640298.869999997</v>
      </c>
      <c r="F43" s="891">
        <v>30668814.649999999</v>
      </c>
      <c r="G43" s="891">
        <v>37517805.275999993</v>
      </c>
      <c r="H43" s="891">
        <v>85139793.627999991</v>
      </c>
      <c r="I43" s="891">
        <v>90225094.325000003</v>
      </c>
      <c r="J43" s="891">
        <v>250591949.993</v>
      </c>
      <c r="K43" s="891">
        <v>274424709.14100003</v>
      </c>
      <c r="L43" s="891">
        <v>1739640621.3959999</v>
      </c>
      <c r="M43" s="889">
        <f>SUM(B43:L43)</f>
        <v>2575036549.2399998</v>
      </c>
    </row>
    <row r="44" spans="1:13" ht="18">
      <c r="A44" s="407" t="s">
        <v>827</v>
      </c>
      <c r="B44" s="408"/>
      <c r="C44" s="408"/>
      <c r="D44" s="408"/>
      <c r="E44" s="408"/>
      <c r="F44" s="408"/>
      <c r="G44" s="408"/>
      <c r="H44" s="408"/>
      <c r="I44" s="408"/>
      <c r="J44" s="408"/>
      <c r="K44" s="408"/>
      <c r="L44" s="408"/>
      <c r="M44" s="409"/>
    </row>
    <row r="45" spans="1:13" ht="17.100000000000001" customHeight="1">
      <c r="A45" s="400" t="s">
        <v>804</v>
      </c>
      <c r="B45" s="399"/>
      <c r="C45" s="399"/>
      <c r="D45" s="399"/>
      <c r="E45" s="399"/>
      <c r="F45" s="399"/>
      <c r="G45" s="399"/>
      <c r="H45" s="399"/>
      <c r="I45" s="399"/>
      <c r="J45" s="399"/>
      <c r="K45" s="399"/>
      <c r="L45" s="399"/>
    </row>
    <row r="46" spans="1:13" ht="17.100000000000001" customHeight="1">
      <c r="A46" s="401" t="str">
        <f>A3</f>
        <v>Taxable Year 2010</v>
      </c>
      <c r="B46" s="399"/>
      <c r="C46" s="399"/>
      <c r="D46" s="399"/>
      <c r="E46" s="399"/>
      <c r="F46" s="399"/>
      <c r="G46" s="399"/>
      <c r="H46" s="399"/>
      <c r="I46" s="399"/>
      <c r="J46" s="399"/>
      <c r="K46" s="399"/>
      <c r="L46" s="399"/>
    </row>
    <row r="47" spans="1:13" ht="17.100000000000001" customHeight="1" thickBot="1">
      <c r="B47" s="410">
        <f>SUM(B9:B43)</f>
        <v>175373827.66711</v>
      </c>
      <c r="C47" s="410">
        <f t="shared" ref="C47:M47" si="0">SUM(C9:C43)</f>
        <v>520872897.20270002</v>
      </c>
      <c r="D47" s="410">
        <f t="shared" si="0"/>
        <v>815723495.33280003</v>
      </c>
      <c r="E47" s="410">
        <f t="shared" si="0"/>
        <v>1089975874.3422999</v>
      </c>
      <c r="F47" s="410">
        <f t="shared" si="0"/>
        <v>1304372188.0313001</v>
      </c>
      <c r="G47" s="410">
        <f t="shared" si="0"/>
        <v>1464398375.9390001</v>
      </c>
      <c r="H47" s="410">
        <f t="shared" si="0"/>
        <v>3308131178.1364999</v>
      </c>
      <c r="I47" s="410">
        <f t="shared" si="0"/>
        <v>3559493851.2559996</v>
      </c>
      <c r="J47" s="410">
        <f t="shared" si="0"/>
        <v>9271879339.5612984</v>
      </c>
      <c r="K47" s="410">
        <f t="shared" si="0"/>
        <v>9075024187.9510002</v>
      </c>
      <c r="L47" s="410">
        <f t="shared" si="0"/>
        <v>58845756511.422195</v>
      </c>
      <c r="M47" s="410">
        <f t="shared" si="0"/>
        <v>89431001726.842239</v>
      </c>
    </row>
    <row r="48" spans="1:13" s="877" customFormat="1" ht="17.100000000000001" customHeight="1">
      <c r="A48" s="874"/>
      <c r="B48" s="892"/>
      <c r="C48" s="876"/>
      <c r="D48" s="876"/>
      <c r="E48" s="876"/>
      <c r="F48" s="876"/>
      <c r="G48" s="876"/>
      <c r="H48" s="876"/>
      <c r="I48" s="876"/>
      <c r="J48" s="876"/>
      <c r="K48" s="876"/>
      <c r="L48" s="876"/>
      <c r="M48" s="876" t="s">
        <v>25</v>
      </c>
    </row>
    <row r="49" spans="1:13" s="877" customFormat="1" ht="17.100000000000001" customHeight="1">
      <c r="A49" s="878"/>
      <c r="B49" s="879"/>
      <c r="C49" s="879" t="s">
        <v>806</v>
      </c>
      <c r="D49" s="879" t="s">
        <v>807</v>
      </c>
      <c r="E49" s="879" t="s">
        <v>808</v>
      </c>
      <c r="F49" s="879" t="s">
        <v>809</v>
      </c>
      <c r="G49" s="879" t="s">
        <v>810</v>
      </c>
      <c r="H49" s="879" t="s">
        <v>811</v>
      </c>
      <c r="I49" s="879" t="s">
        <v>812</v>
      </c>
      <c r="J49" s="879" t="s">
        <v>813</v>
      </c>
      <c r="K49" s="879" t="s">
        <v>814</v>
      </c>
      <c r="L49" s="879" t="s">
        <v>815</v>
      </c>
      <c r="M49" s="879" t="s">
        <v>476</v>
      </c>
    </row>
    <row r="50" spans="1:13" s="877" customFormat="1" ht="17.100000000000001" customHeight="1">
      <c r="A50" s="880" t="s">
        <v>33</v>
      </c>
      <c r="B50" s="879" t="s">
        <v>816</v>
      </c>
      <c r="C50" s="879" t="s">
        <v>817</v>
      </c>
      <c r="D50" s="879" t="s">
        <v>818</v>
      </c>
      <c r="E50" s="879" t="s">
        <v>819</v>
      </c>
      <c r="F50" s="879" t="s">
        <v>820</v>
      </c>
      <c r="G50" s="879" t="s">
        <v>821</v>
      </c>
      <c r="H50" s="879" t="s">
        <v>822</v>
      </c>
      <c r="I50" s="879" t="s">
        <v>823</v>
      </c>
      <c r="J50" s="879" t="s">
        <v>824</v>
      </c>
      <c r="K50" s="879" t="s">
        <v>825</v>
      </c>
      <c r="L50" s="879" t="s">
        <v>826</v>
      </c>
      <c r="M50" s="879" t="s">
        <v>32</v>
      </c>
    </row>
    <row r="51" spans="1:13" ht="17.100000000000001" customHeight="1">
      <c r="A51" s="411"/>
      <c r="B51" s="412"/>
      <c r="C51" s="412"/>
      <c r="D51" s="412"/>
      <c r="E51" s="412"/>
      <c r="F51" s="412"/>
      <c r="G51" s="412"/>
      <c r="H51" s="412"/>
      <c r="I51" s="412"/>
      <c r="J51" s="412"/>
      <c r="K51" s="412"/>
      <c r="L51" s="412"/>
      <c r="M51" s="413"/>
    </row>
    <row r="52" spans="1:13" s="877" customFormat="1" ht="17.100000000000001" customHeight="1">
      <c r="A52" s="887" t="s">
        <v>624</v>
      </c>
      <c r="B52" s="885">
        <v>1091984.6429999999</v>
      </c>
      <c r="C52" s="885">
        <v>3897583.2439999999</v>
      </c>
      <c r="D52" s="885">
        <v>7227025.8839999996</v>
      </c>
      <c r="E52" s="885">
        <v>8981308.1600000001</v>
      </c>
      <c r="F52" s="885">
        <v>11439532.624</v>
      </c>
      <c r="G52" s="885">
        <v>11104296</v>
      </c>
      <c r="H52" s="885">
        <v>23313470.256000001</v>
      </c>
      <c r="I52" s="885">
        <v>24482434.715999998</v>
      </c>
      <c r="J52" s="885">
        <v>58601126.682999998</v>
      </c>
      <c r="K52" s="885">
        <v>41284589.505000003</v>
      </c>
      <c r="L52" s="885">
        <v>61799156</v>
      </c>
      <c r="M52" s="884">
        <f>SUM(B52:L52)</f>
        <v>253222507.715</v>
      </c>
    </row>
    <row r="53" spans="1:13" s="877" customFormat="1" ht="17.100000000000001" customHeight="1">
      <c r="A53" s="887" t="s">
        <v>626</v>
      </c>
      <c r="B53" s="888">
        <v>1632623.0209999999</v>
      </c>
      <c r="C53" s="888">
        <v>4557768.9010000005</v>
      </c>
      <c r="D53" s="888">
        <v>8000444.3640000001</v>
      </c>
      <c r="E53" s="888">
        <v>10934367.894000001</v>
      </c>
      <c r="F53" s="888">
        <v>14546974.268000001</v>
      </c>
      <c r="G53" s="888">
        <v>17641057.011</v>
      </c>
      <c r="H53" s="888">
        <v>40039714.777999997</v>
      </c>
      <c r="I53" s="888">
        <v>42117383.296999998</v>
      </c>
      <c r="J53" s="888">
        <v>111508487.036</v>
      </c>
      <c r="K53" s="888">
        <v>101657425.626</v>
      </c>
      <c r="L53" s="888">
        <v>200573086.47299999</v>
      </c>
      <c r="M53" s="889">
        <f>SUM(B53:L53)</f>
        <v>553209332.66899991</v>
      </c>
    </row>
    <row r="54" spans="1:13" s="877" customFormat="1" ht="17.100000000000001" customHeight="1">
      <c r="A54" s="887" t="s">
        <v>629</v>
      </c>
      <c r="B54" s="888">
        <v>4367719.8348999992</v>
      </c>
      <c r="C54" s="888">
        <v>13766777.573999999</v>
      </c>
      <c r="D54" s="888">
        <v>25249502.448999997</v>
      </c>
      <c r="E54" s="888">
        <v>31991505.916000001</v>
      </c>
      <c r="F54" s="888">
        <v>41496037.101000004</v>
      </c>
      <c r="G54" s="888">
        <v>46182556.754000001</v>
      </c>
      <c r="H54" s="888">
        <v>85415026.104000002</v>
      </c>
      <c r="I54" s="888">
        <v>79502797.57100001</v>
      </c>
      <c r="J54" s="888">
        <v>185863575.838</v>
      </c>
      <c r="K54" s="888">
        <v>137468748.54699999</v>
      </c>
      <c r="L54" s="888">
        <v>323930125.70599997</v>
      </c>
      <c r="M54" s="889">
        <f>SUM(B54:L54)</f>
        <v>975234373.39489996</v>
      </c>
    </row>
    <row r="55" spans="1:13" s="877" customFormat="1" ht="17.100000000000001" customHeight="1">
      <c r="A55" s="887" t="s">
        <v>631</v>
      </c>
      <c r="B55" s="888">
        <v>6442098.1795999995</v>
      </c>
      <c r="C55" s="888">
        <v>19420248.664999999</v>
      </c>
      <c r="D55" s="888">
        <v>30239872.992000002</v>
      </c>
      <c r="E55" s="888">
        <v>37875294.008999996</v>
      </c>
      <c r="F55" s="888">
        <v>46382000.654999994</v>
      </c>
      <c r="G55" s="888">
        <v>54181141.423</v>
      </c>
      <c r="H55" s="888">
        <v>124860956.61019999</v>
      </c>
      <c r="I55" s="888">
        <v>122289920.31400001</v>
      </c>
      <c r="J55" s="888">
        <v>314759719.38599998</v>
      </c>
      <c r="K55" s="888">
        <v>302498581.91000003</v>
      </c>
      <c r="L55" s="888">
        <v>905086299.12700009</v>
      </c>
      <c r="M55" s="889">
        <f>SUM(B55:L55)</f>
        <v>1964036133.2708001</v>
      </c>
    </row>
    <row r="56" spans="1:13" s="877" customFormat="1" ht="17.100000000000001" customHeight="1">
      <c r="A56" s="887" t="s">
        <v>634</v>
      </c>
      <c r="B56" s="888">
        <v>1279658.9172</v>
      </c>
      <c r="C56" s="888">
        <v>4673961.6960000005</v>
      </c>
      <c r="D56" s="888">
        <v>8079990.5870000003</v>
      </c>
      <c r="E56" s="888">
        <v>10712293.942</v>
      </c>
      <c r="F56" s="888">
        <v>12817034.824000001</v>
      </c>
      <c r="G56" s="888">
        <v>13269190.66</v>
      </c>
      <c r="H56" s="888">
        <v>27325850.943999998</v>
      </c>
      <c r="I56" s="888">
        <v>29662098.634999998</v>
      </c>
      <c r="J56" s="888">
        <v>64359120.067000002</v>
      </c>
      <c r="K56" s="888">
        <v>51230914.306999996</v>
      </c>
      <c r="L56" s="888">
        <v>63888127.004000001</v>
      </c>
      <c r="M56" s="889">
        <f>SUM(B56:L56)</f>
        <v>287298241.58319998</v>
      </c>
    </row>
    <row r="57" spans="1:13" s="877" customFormat="1" ht="17.100000000000001" customHeight="1">
      <c r="A57" s="887"/>
      <c r="B57" s="888"/>
      <c r="C57" s="888"/>
      <c r="D57" s="888"/>
      <c r="E57" s="888"/>
      <c r="F57" s="888"/>
      <c r="G57" s="888"/>
      <c r="H57" s="888"/>
      <c r="I57" s="888"/>
      <c r="J57" s="888"/>
      <c r="K57" s="888"/>
      <c r="L57" s="888"/>
      <c r="M57" s="889"/>
    </row>
    <row r="58" spans="1:13" s="877" customFormat="1" ht="17.100000000000001" customHeight="1">
      <c r="A58" s="887" t="s">
        <v>637</v>
      </c>
      <c r="B58" s="888">
        <v>2885322.8272000002</v>
      </c>
      <c r="C58" s="888">
        <v>9469225.3200000003</v>
      </c>
      <c r="D58" s="888">
        <v>15273633.013</v>
      </c>
      <c r="E58" s="888">
        <v>20054514.699000001</v>
      </c>
      <c r="F58" s="888">
        <v>24473404.921999998</v>
      </c>
      <c r="G58" s="888">
        <v>27605958.732000001</v>
      </c>
      <c r="H58" s="888">
        <v>58646432.770999998</v>
      </c>
      <c r="I58" s="888">
        <v>60086211.144000001</v>
      </c>
      <c r="J58" s="888">
        <v>155294500.66600001</v>
      </c>
      <c r="K58" s="888">
        <v>148250237.62099999</v>
      </c>
      <c r="L58" s="888">
        <v>297347645.47799999</v>
      </c>
      <c r="M58" s="889">
        <f>SUM(B58:L58)</f>
        <v>819387087.19319999</v>
      </c>
    </row>
    <row r="59" spans="1:13" s="877" customFormat="1" ht="17.100000000000001" customHeight="1">
      <c r="A59" s="887" t="s">
        <v>639</v>
      </c>
      <c r="B59" s="888">
        <v>1594169.85</v>
      </c>
      <c r="C59" s="888">
        <v>4011723.5319999997</v>
      </c>
      <c r="D59" s="888">
        <v>7220547.2489999998</v>
      </c>
      <c r="E59" s="888">
        <v>8344568.057</v>
      </c>
      <c r="F59" s="888">
        <v>11099609</v>
      </c>
      <c r="G59" s="888">
        <v>12415277.688999999</v>
      </c>
      <c r="H59" s="888">
        <v>27887527.736000001</v>
      </c>
      <c r="I59" s="888">
        <v>27157811.873999998</v>
      </c>
      <c r="J59" s="888">
        <v>71917014.27700001</v>
      </c>
      <c r="K59" s="888">
        <v>86432193.142000005</v>
      </c>
      <c r="L59" s="888">
        <v>883386331.78100002</v>
      </c>
      <c r="M59" s="889">
        <f>SUM(B59:L59)</f>
        <v>1141466774.187</v>
      </c>
    </row>
    <row r="60" spans="1:13" s="877" customFormat="1" ht="17.100000000000001" customHeight="1">
      <c r="A60" s="887" t="s">
        <v>641</v>
      </c>
      <c r="B60" s="888">
        <v>1616921.7239999999</v>
      </c>
      <c r="C60" s="888">
        <v>4934037.3530000001</v>
      </c>
      <c r="D60" s="888">
        <v>8085856.7649999997</v>
      </c>
      <c r="E60" s="888">
        <v>11595628.291999999</v>
      </c>
      <c r="F60" s="888">
        <v>13395060.221000001</v>
      </c>
      <c r="G60" s="888">
        <v>13045000.564999999</v>
      </c>
      <c r="H60" s="888">
        <v>26158488.816</v>
      </c>
      <c r="I60" s="888">
        <v>23355708.598999999</v>
      </c>
      <c r="J60" s="888">
        <v>45609264.405999996</v>
      </c>
      <c r="K60" s="888">
        <v>24215135.682999998</v>
      </c>
      <c r="L60" s="888">
        <v>27605823.780999999</v>
      </c>
      <c r="M60" s="889">
        <f>SUM(B60:L60)</f>
        <v>199616926.20499998</v>
      </c>
    </row>
    <row r="61" spans="1:13" s="877" customFormat="1" ht="17.100000000000001" customHeight="1">
      <c r="A61" s="887" t="s">
        <v>644</v>
      </c>
      <c r="B61" s="888">
        <v>1295104.1680000001</v>
      </c>
      <c r="C61" s="888">
        <v>4085738.7779999999</v>
      </c>
      <c r="D61" s="888">
        <v>7014612.6559999995</v>
      </c>
      <c r="E61" s="888">
        <v>8691678.7910000011</v>
      </c>
      <c r="F61" s="888">
        <v>12757700.718</v>
      </c>
      <c r="G61" s="888">
        <v>13663239.548</v>
      </c>
      <c r="H61" s="888">
        <v>27802062.795000002</v>
      </c>
      <c r="I61" s="888">
        <v>28006450</v>
      </c>
      <c r="J61" s="888">
        <v>71532256.247999996</v>
      </c>
      <c r="K61" s="888">
        <v>69025913.138999999</v>
      </c>
      <c r="L61" s="888">
        <v>139921458.40900001</v>
      </c>
      <c r="M61" s="889">
        <f>SUM(B61:L61)</f>
        <v>383796215.25</v>
      </c>
    </row>
    <row r="62" spans="1:13" s="877" customFormat="1" ht="17.100000000000001" customHeight="1">
      <c r="A62" s="887" t="s">
        <v>647</v>
      </c>
      <c r="B62" s="888">
        <v>865541.93299999996</v>
      </c>
      <c r="C62" s="888">
        <v>3214446.0920000002</v>
      </c>
      <c r="D62" s="888">
        <v>5636106.881000001</v>
      </c>
      <c r="E62" s="888">
        <v>8205006.7640000004</v>
      </c>
      <c r="F62" s="888">
        <v>8693875.8640000001</v>
      </c>
      <c r="G62" s="888">
        <v>12612727.809</v>
      </c>
      <c r="H62" s="888">
        <v>26407046.199000001</v>
      </c>
      <c r="I62" s="888">
        <v>21751603.992000002</v>
      </c>
      <c r="J62" s="888">
        <v>35190418.924999997</v>
      </c>
      <c r="K62" s="888">
        <v>21994576.901999995</v>
      </c>
      <c r="L62" s="888">
        <v>49739970.371000007</v>
      </c>
      <c r="M62" s="889">
        <f>SUM(B62:L62)</f>
        <v>194311321.73199999</v>
      </c>
    </row>
    <row r="63" spans="1:13" s="877" customFormat="1" ht="17.100000000000001" customHeight="1">
      <c r="A63" s="887"/>
      <c r="B63" s="889"/>
      <c r="C63" s="414"/>
      <c r="D63" s="889"/>
      <c r="E63" s="889"/>
      <c r="F63" s="889"/>
      <c r="G63" s="889"/>
      <c r="H63" s="889"/>
      <c r="I63" s="889"/>
      <c r="J63" s="889"/>
      <c r="K63" s="889"/>
      <c r="L63" s="889"/>
      <c r="M63" s="889"/>
    </row>
    <row r="64" spans="1:13" s="877" customFormat="1" ht="17.100000000000001" customHeight="1">
      <c r="A64" s="887" t="s">
        <v>523</v>
      </c>
      <c r="B64" s="888">
        <v>3219838.8258000002</v>
      </c>
      <c r="C64" s="889">
        <v>9811968.3990000002</v>
      </c>
      <c r="D64" s="888">
        <v>18221043.119000003</v>
      </c>
      <c r="E64" s="888">
        <v>23384669.443</v>
      </c>
      <c r="F64" s="888">
        <v>27300017.901999999</v>
      </c>
      <c r="G64" s="888">
        <v>31146706.806000002</v>
      </c>
      <c r="H64" s="888">
        <v>61891982.777999997</v>
      </c>
      <c r="I64" s="888">
        <v>48039505.681000002</v>
      </c>
      <c r="J64" s="889">
        <v>104783109.543</v>
      </c>
      <c r="K64" s="888">
        <v>72220691.387999997</v>
      </c>
      <c r="L64" s="888">
        <v>125702478.608</v>
      </c>
      <c r="M64" s="889">
        <f>SUM(B64:L64)</f>
        <v>525722012.4928</v>
      </c>
    </row>
    <row r="65" spans="1:13" s="877" customFormat="1" ht="17.100000000000001" customHeight="1">
      <c r="A65" s="887" t="s">
        <v>527</v>
      </c>
      <c r="B65" s="888">
        <v>8625063.4810000006</v>
      </c>
      <c r="C65" s="888">
        <v>23061200.756999999</v>
      </c>
      <c r="D65" s="888">
        <v>32678427.805</v>
      </c>
      <c r="E65" s="888">
        <v>41955831.800999999</v>
      </c>
      <c r="F65" s="888">
        <v>52747993.857000001</v>
      </c>
      <c r="G65" s="888">
        <v>58310083.536000006</v>
      </c>
      <c r="H65" s="888">
        <v>137620716.917</v>
      </c>
      <c r="I65" s="888">
        <v>146658893.891</v>
      </c>
      <c r="J65" s="889">
        <v>378366663.63900006</v>
      </c>
      <c r="K65" s="888">
        <v>433382586.69800001</v>
      </c>
      <c r="L65" s="888">
        <v>1598219922.813</v>
      </c>
      <c r="M65" s="889">
        <f>SUM(B65:L65)</f>
        <v>2911627385.1950002</v>
      </c>
    </row>
    <row r="66" spans="1:13" s="877" customFormat="1" ht="17.100000000000001" customHeight="1">
      <c r="A66" s="887" t="s">
        <v>531</v>
      </c>
      <c r="B66" s="888">
        <v>22842050.164800003</v>
      </c>
      <c r="C66" s="888">
        <v>72640779.677400008</v>
      </c>
      <c r="D66" s="888">
        <v>118763363.338</v>
      </c>
      <c r="E66" s="888">
        <v>159234163.98800001</v>
      </c>
      <c r="F66" s="888">
        <v>201296999.29299998</v>
      </c>
      <c r="G66" s="888">
        <v>233916888.20359999</v>
      </c>
      <c r="H66" s="888">
        <v>536685315.59600002</v>
      </c>
      <c r="I66" s="888">
        <v>547652322.13800001</v>
      </c>
      <c r="J66" s="889">
        <v>1193812689.5539999</v>
      </c>
      <c r="K66" s="888">
        <v>1024815884.119</v>
      </c>
      <c r="L66" s="888">
        <v>4473866873.5799999</v>
      </c>
      <c r="M66" s="889">
        <f>SUM(B66:L66)</f>
        <v>8585527329.6518002</v>
      </c>
    </row>
    <row r="67" spans="1:13" s="877" customFormat="1" ht="17.100000000000001" customHeight="1">
      <c r="A67" s="887" t="s">
        <v>535</v>
      </c>
      <c r="B67" s="888">
        <v>5240443.7334000003</v>
      </c>
      <c r="C67" s="888">
        <v>17320649.655999999</v>
      </c>
      <c r="D67" s="888">
        <v>32408563.794</v>
      </c>
      <c r="E67" s="888">
        <v>44958226.634000003</v>
      </c>
      <c r="F67" s="888">
        <v>49424669.461000003</v>
      </c>
      <c r="G67" s="888">
        <v>49002631.379000001</v>
      </c>
      <c r="H67" s="888">
        <v>88795042.937000006</v>
      </c>
      <c r="I67" s="888">
        <v>75671617.240999997</v>
      </c>
      <c r="J67" s="889">
        <v>141370124.45899999</v>
      </c>
      <c r="K67" s="888">
        <v>100960216.18099999</v>
      </c>
      <c r="L67" s="888">
        <v>163404497.98199999</v>
      </c>
      <c r="M67" s="889">
        <f>SUM(B67:L67)</f>
        <v>768556683.45739996</v>
      </c>
    </row>
    <row r="68" spans="1:13" s="877" customFormat="1" ht="17.100000000000001" customHeight="1">
      <c r="A68" s="887" t="s">
        <v>539</v>
      </c>
      <c r="B68" s="888">
        <v>251017.7825</v>
      </c>
      <c r="C68" s="888">
        <v>687813.54200000002</v>
      </c>
      <c r="D68" s="888">
        <v>1224626.821</v>
      </c>
      <c r="E68" s="888">
        <v>1607285.095</v>
      </c>
      <c r="F68" s="888">
        <v>1869411</v>
      </c>
      <c r="G68" s="888">
        <v>1567629.81</v>
      </c>
      <c r="H68" s="888">
        <v>4338274</v>
      </c>
      <c r="I68" s="888">
        <v>4191259</v>
      </c>
      <c r="J68" s="888">
        <v>7471708.3310000002</v>
      </c>
      <c r="K68" s="888">
        <v>3962685</v>
      </c>
      <c r="L68" s="888">
        <v>14921267.039999999</v>
      </c>
      <c r="M68" s="889">
        <f>SUM(B68:L68)</f>
        <v>42092977.421499997</v>
      </c>
    </row>
    <row r="69" spans="1:13" s="877" customFormat="1" ht="17.100000000000001" customHeight="1">
      <c r="A69" s="887"/>
      <c r="B69" s="888"/>
      <c r="C69" s="888"/>
      <c r="D69" s="888"/>
      <c r="E69" s="888"/>
      <c r="F69" s="888"/>
      <c r="G69" s="888"/>
      <c r="H69" s="888"/>
      <c r="I69" s="888"/>
      <c r="J69" s="888"/>
      <c r="K69" s="888"/>
      <c r="L69" s="888"/>
      <c r="M69" s="889"/>
    </row>
    <row r="70" spans="1:13" s="877" customFormat="1" ht="17.100000000000001" customHeight="1">
      <c r="A70" s="887" t="s">
        <v>543</v>
      </c>
      <c r="B70" s="888">
        <v>2686874.9750000001</v>
      </c>
      <c r="C70" s="888">
        <v>8148120.9570000004</v>
      </c>
      <c r="D70" s="888">
        <v>13419383.163999999</v>
      </c>
      <c r="E70" s="888">
        <v>17528489.344999999</v>
      </c>
      <c r="F70" s="888">
        <v>23120696.423999999</v>
      </c>
      <c r="G70" s="888">
        <v>25531768.674000002</v>
      </c>
      <c r="H70" s="888">
        <v>50152774.126999997</v>
      </c>
      <c r="I70" s="888">
        <v>52724194.160000004</v>
      </c>
      <c r="J70" s="888">
        <v>139970309.93700001</v>
      </c>
      <c r="K70" s="888">
        <v>141419245.752</v>
      </c>
      <c r="L70" s="888">
        <v>426029282.95099998</v>
      </c>
      <c r="M70" s="889">
        <f>SUM(B70:L70)</f>
        <v>900731140.46599996</v>
      </c>
    </row>
    <row r="71" spans="1:13" s="877" customFormat="1" ht="17.100000000000001" customHeight="1">
      <c r="A71" s="887" t="s">
        <v>547</v>
      </c>
      <c r="B71" s="888">
        <v>5729595.8940000003</v>
      </c>
      <c r="C71" s="888">
        <v>15810006.249999998</v>
      </c>
      <c r="D71" s="888">
        <v>23249218.723999999</v>
      </c>
      <c r="E71" s="888">
        <v>30559877.912999999</v>
      </c>
      <c r="F71" s="888">
        <v>37816547.561999999</v>
      </c>
      <c r="G71" s="888">
        <v>39750958.107000001</v>
      </c>
      <c r="H71" s="888">
        <v>89927722.803000003</v>
      </c>
      <c r="I71" s="888">
        <v>98320603.126000002</v>
      </c>
      <c r="J71" s="888">
        <v>254552816.23800001</v>
      </c>
      <c r="K71" s="888">
        <v>276393429.61199999</v>
      </c>
      <c r="L71" s="888">
        <v>1343543242.1069999</v>
      </c>
      <c r="M71" s="889">
        <f>SUM(B71:L71)</f>
        <v>2215654018.336</v>
      </c>
    </row>
    <row r="72" spans="1:13" s="877" customFormat="1" ht="17.100000000000001" customHeight="1">
      <c r="A72" s="887" t="s">
        <v>551</v>
      </c>
      <c r="B72" s="888">
        <v>475005.00199999998</v>
      </c>
      <c r="C72" s="888">
        <v>1746972.7140000002</v>
      </c>
      <c r="D72" s="888">
        <v>3430207.9590000003</v>
      </c>
      <c r="E72" s="888">
        <v>4318193.9989999998</v>
      </c>
      <c r="F72" s="888">
        <v>5477483.852</v>
      </c>
      <c r="G72" s="888">
        <v>6225973</v>
      </c>
      <c r="H72" s="888">
        <v>12845796.236</v>
      </c>
      <c r="I72" s="888">
        <v>11440680</v>
      </c>
      <c r="J72" s="888">
        <v>26704673</v>
      </c>
      <c r="K72" s="888">
        <v>21629792</v>
      </c>
      <c r="L72" s="888">
        <v>34610486.544</v>
      </c>
      <c r="M72" s="889">
        <f>SUM(B72:L72)</f>
        <v>128905264.30599999</v>
      </c>
    </row>
    <row r="73" spans="1:13" s="877" customFormat="1" ht="17.100000000000001" customHeight="1">
      <c r="A73" s="887" t="s">
        <v>555</v>
      </c>
      <c r="B73" s="888">
        <v>1595416.7862999998</v>
      </c>
      <c r="C73" s="888">
        <v>4498837.21</v>
      </c>
      <c r="D73" s="888">
        <v>7288046.4859999996</v>
      </c>
      <c r="E73" s="888">
        <v>8646751.6329999994</v>
      </c>
      <c r="F73" s="888">
        <v>10851539.784</v>
      </c>
      <c r="G73" s="888">
        <v>11091635.260000002</v>
      </c>
      <c r="H73" s="888">
        <v>27363171.185000002</v>
      </c>
      <c r="I73" s="888">
        <v>28027927.030000001</v>
      </c>
      <c r="J73" s="888">
        <v>81093796.023999989</v>
      </c>
      <c r="K73" s="888">
        <v>106385735.602</v>
      </c>
      <c r="L73" s="888">
        <v>355538382.84999996</v>
      </c>
      <c r="M73" s="889">
        <f>SUM(B73:L73)</f>
        <v>642381239.85029995</v>
      </c>
    </row>
    <row r="74" spans="1:13" s="877" customFormat="1" ht="17.100000000000001" customHeight="1">
      <c r="A74" s="887" t="s">
        <v>559</v>
      </c>
      <c r="B74" s="888">
        <v>1091186.814</v>
      </c>
      <c r="C74" s="888">
        <v>3329835.7509999997</v>
      </c>
      <c r="D74" s="888">
        <v>6251795.1579999998</v>
      </c>
      <c r="E74" s="888">
        <v>7938421.3760000002</v>
      </c>
      <c r="F74" s="888">
        <v>10410221.318</v>
      </c>
      <c r="G74" s="888">
        <v>11548793</v>
      </c>
      <c r="H74" s="888">
        <v>25934346.175999999</v>
      </c>
      <c r="I74" s="888">
        <v>29280731.774999999</v>
      </c>
      <c r="J74" s="888">
        <v>77159084.573599994</v>
      </c>
      <c r="K74" s="888">
        <v>69799988</v>
      </c>
      <c r="L74" s="888">
        <v>109945038.71600001</v>
      </c>
      <c r="M74" s="889">
        <f>SUM(B74:L74)</f>
        <v>352689442.65759999</v>
      </c>
    </row>
    <row r="75" spans="1:13" s="877" customFormat="1" ht="17.100000000000001" customHeight="1">
      <c r="B75" s="889"/>
      <c r="C75" s="414"/>
      <c r="D75" s="889"/>
      <c r="E75" s="414"/>
      <c r="F75" s="889"/>
      <c r="G75" s="414"/>
      <c r="H75" s="889"/>
      <c r="I75" s="414"/>
      <c r="J75" s="889"/>
      <c r="K75" s="889"/>
      <c r="L75" s="889"/>
      <c r="M75" s="889"/>
    </row>
    <row r="76" spans="1:13" s="877" customFormat="1" ht="17.100000000000001" customHeight="1">
      <c r="A76" s="887" t="s">
        <v>563</v>
      </c>
      <c r="B76" s="888">
        <v>962019.83</v>
      </c>
      <c r="C76" s="889">
        <v>3498295.1540000001</v>
      </c>
      <c r="D76" s="888">
        <v>5959519.75</v>
      </c>
      <c r="E76" s="889">
        <v>8292596.3629999999</v>
      </c>
      <c r="F76" s="888">
        <v>9238770</v>
      </c>
      <c r="G76" s="889">
        <v>9749625.6940000001</v>
      </c>
      <c r="H76" s="888">
        <v>20289189.107000001</v>
      </c>
      <c r="I76" s="889">
        <v>18768263.272</v>
      </c>
      <c r="J76" s="888">
        <v>39502929.838</v>
      </c>
      <c r="K76" s="888">
        <v>36424777.388999999</v>
      </c>
      <c r="L76" s="888">
        <v>128708861.052</v>
      </c>
      <c r="M76" s="889">
        <f>SUM(B76:L76)</f>
        <v>281394847.449</v>
      </c>
    </row>
    <row r="77" spans="1:13" s="877" customFormat="1" ht="17.100000000000001" customHeight="1">
      <c r="A77" s="887" t="s">
        <v>567</v>
      </c>
      <c r="B77" s="888">
        <v>2126471.1519999998</v>
      </c>
      <c r="C77" s="888">
        <v>6774911.8330000006</v>
      </c>
      <c r="D77" s="888">
        <v>11357763.733999999</v>
      </c>
      <c r="E77" s="888">
        <v>13736488.864</v>
      </c>
      <c r="F77" s="888">
        <v>14601091.245999999</v>
      </c>
      <c r="G77" s="888">
        <v>14182503.003999999</v>
      </c>
      <c r="H77" s="888">
        <v>29377010.243999999</v>
      </c>
      <c r="I77" s="888">
        <v>26455160.982000001</v>
      </c>
      <c r="J77" s="888">
        <v>65140580.743000001</v>
      </c>
      <c r="K77" s="888">
        <v>41804920.805</v>
      </c>
      <c r="L77" s="888">
        <v>69998126.149000004</v>
      </c>
      <c r="M77" s="889">
        <f>SUM(B77:L77)</f>
        <v>295555028.75599998</v>
      </c>
    </row>
    <row r="78" spans="1:13" s="877" customFormat="1" ht="17.100000000000001" customHeight="1">
      <c r="A78" s="887" t="s">
        <v>571</v>
      </c>
      <c r="B78" s="888">
        <v>20559745.595600002</v>
      </c>
      <c r="C78" s="888">
        <v>50799345.699000001</v>
      </c>
      <c r="D78" s="888">
        <v>73267902.791000009</v>
      </c>
      <c r="E78" s="888">
        <v>98543255.855000004</v>
      </c>
      <c r="F78" s="888">
        <v>119221263.09699999</v>
      </c>
      <c r="G78" s="888">
        <v>138087474.73799998</v>
      </c>
      <c r="H78" s="888">
        <v>311475533.82500005</v>
      </c>
      <c r="I78" s="888">
        <v>356672912.53199995</v>
      </c>
      <c r="J78" s="888">
        <v>1023846892.073</v>
      </c>
      <c r="K78" s="888">
        <v>1209360558.3570001</v>
      </c>
      <c r="L78" s="888">
        <v>10841089470.667999</v>
      </c>
      <c r="M78" s="889">
        <f>SUM(B78:L78)</f>
        <v>14242924355.230598</v>
      </c>
    </row>
    <row r="79" spans="1:13" s="877" customFormat="1" ht="17.100000000000001" customHeight="1">
      <c r="A79" s="887" t="s">
        <v>575</v>
      </c>
      <c r="B79" s="888">
        <v>2349841.5240000002</v>
      </c>
      <c r="C79" s="888">
        <v>7368056.165000001</v>
      </c>
      <c r="D79" s="888">
        <v>12036091.454</v>
      </c>
      <c r="E79" s="888">
        <v>16614209.301000001</v>
      </c>
      <c r="F79" s="888">
        <v>22329718.581</v>
      </c>
      <c r="G79" s="888">
        <v>23523674.002</v>
      </c>
      <c r="H79" s="888">
        <v>53902915.460999995</v>
      </c>
      <c r="I79" s="888">
        <v>52585988.318000004</v>
      </c>
      <c r="J79" s="888">
        <v>126284769.32100001</v>
      </c>
      <c r="K79" s="888">
        <v>120209909.082</v>
      </c>
      <c r="L79" s="888">
        <v>248945128.199</v>
      </c>
      <c r="M79" s="889">
        <f>SUM(B79:L79)</f>
        <v>686150301.40799999</v>
      </c>
    </row>
    <row r="80" spans="1:13" s="877" customFormat="1" ht="17.100000000000001" customHeight="1">
      <c r="A80" s="887" t="s">
        <v>579</v>
      </c>
      <c r="B80" s="888">
        <v>973746.33100000001</v>
      </c>
      <c r="C80" s="888">
        <v>3544991.8769999999</v>
      </c>
      <c r="D80" s="888">
        <v>5870523.2549999999</v>
      </c>
      <c r="E80" s="888">
        <v>8817519.1079999991</v>
      </c>
      <c r="F80" s="888">
        <v>9696996.1600000001</v>
      </c>
      <c r="G80" s="888">
        <v>9478627.4979999997</v>
      </c>
      <c r="H80" s="888">
        <v>19408807.5</v>
      </c>
      <c r="I80" s="888">
        <v>16607306.59</v>
      </c>
      <c r="J80" s="888">
        <v>31313739.066</v>
      </c>
      <c r="K80" s="888">
        <v>23106536.399999999</v>
      </c>
      <c r="L80" s="888">
        <v>47224329.512999997</v>
      </c>
      <c r="M80" s="889">
        <f>SUM(B80:L80)</f>
        <v>176043123.29799998</v>
      </c>
    </row>
    <row r="81" spans="1:13" s="877" customFormat="1" ht="17.100000000000001" customHeight="1">
      <c r="A81" s="887"/>
      <c r="B81" s="888"/>
      <c r="C81" s="888"/>
      <c r="D81" s="888"/>
      <c r="E81" s="888"/>
      <c r="F81" s="888"/>
      <c r="G81" s="888"/>
      <c r="H81" s="888"/>
      <c r="I81" s="888"/>
      <c r="J81" s="888"/>
      <c r="K81" s="888"/>
      <c r="L81" s="888"/>
      <c r="M81" s="889"/>
    </row>
    <row r="82" spans="1:13" s="877" customFormat="1" ht="17.100000000000001" customHeight="1">
      <c r="A82" s="887" t="s">
        <v>583</v>
      </c>
      <c r="B82" s="888">
        <v>1005237.4442</v>
      </c>
      <c r="C82" s="888">
        <v>3242826.5350000001</v>
      </c>
      <c r="D82" s="888">
        <v>5109674.9330000002</v>
      </c>
      <c r="E82" s="888">
        <v>7019596.2339999992</v>
      </c>
      <c r="F82" s="888">
        <v>8715047.7719999999</v>
      </c>
      <c r="G82" s="888">
        <v>9327945.0240000002</v>
      </c>
      <c r="H82" s="888">
        <v>21104731.755000003</v>
      </c>
      <c r="I82" s="888">
        <v>19954072.285999998</v>
      </c>
      <c r="J82" s="888">
        <v>47520811.490999997</v>
      </c>
      <c r="K82" s="888">
        <v>42211142</v>
      </c>
      <c r="L82" s="888">
        <v>100148503.08399999</v>
      </c>
      <c r="M82" s="889">
        <f>SUM(B82:L82)</f>
        <v>265359588.5582</v>
      </c>
    </row>
    <row r="83" spans="1:13" s="877" customFormat="1" ht="17.100000000000001" customHeight="1">
      <c r="A83" s="887" t="s">
        <v>585</v>
      </c>
      <c r="B83" s="888">
        <v>620776.53099999996</v>
      </c>
      <c r="C83" s="888">
        <v>2345631.0209999997</v>
      </c>
      <c r="D83" s="888">
        <v>3887079.548</v>
      </c>
      <c r="E83" s="888">
        <v>4958751.2230000002</v>
      </c>
      <c r="F83" s="888">
        <v>6590352.7650000006</v>
      </c>
      <c r="G83" s="888">
        <v>6546925</v>
      </c>
      <c r="H83" s="888">
        <v>14212887.624</v>
      </c>
      <c r="I83" s="888">
        <v>14811742.979</v>
      </c>
      <c r="J83" s="888">
        <v>35759066</v>
      </c>
      <c r="K83" s="888">
        <v>33844868.267999999</v>
      </c>
      <c r="L83" s="888">
        <v>88898041</v>
      </c>
      <c r="M83" s="889">
        <f>SUM(B83:L83)</f>
        <v>212476121.95899999</v>
      </c>
    </row>
    <row r="84" spans="1:13" s="877" customFormat="1" ht="17.100000000000001" customHeight="1">
      <c r="A84" s="887" t="s">
        <v>588</v>
      </c>
      <c r="B84" s="888">
        <v>2748214.3046000004</v>
      </c>
      <c r="C84" s="888">
        <v>9447357.1520000007</v>
      </c>
      <c r="D84" s="888">
        <v>16536708.827</v>
      </c>
      <c r="E84" s="888">
        <v>24634640.160999998</v>
      </c>
      <c r="F84" s="888">
        <v>25341479.574999999</v>
      </c>
      <c r="G84" s="888">
        <v>27511107.643000003</v>
      </c>
      <c r="H84" s="888">
        <v>56005705.818000004</v>
      </c>
      <c r="I84" s="888">
        <v>44259687.506999999</v>
      </c>
      <c r="J84" s="888">
        <v>88501679.127999991</v>
      </c>
      <c r="K84" s="888">
        <v>64663105.987999998</v>
      </c>
      <c r="L84" s="888">
        <v>127276185.16</v>
      </c>
      <c r="M84" s="889">
        <f>SUM(B84:L84)</f>
        <v>486925871.26359999</v>
      </c>
    </row>
    <row r="85" spans="1:13" s="877" customFormat="1" ht="17.100000000000001" customHeight="1">
      <c r="A85" s="887" t="s">
        <v>591</v>
      </c>
      <c r="B85" s="888">
        <v>853340.25900000008</v>
      </c>
      <c r="C85" s="888">
        <v>3164237.0130000003</v>
      </c>
      <c r="D85" s="888">
        <v>4695087.227</v>
      </c>
      <c r="E85" s="888">
        <v>6827552.8880000003</v>
      </c>
      <c r="F85" s="888">
        <v>7699109.5549999997</v>
      </c>
      <c r="G85" s="888">
        <v>8823705.665000001</v>
      </c>
      <c r="H85" s="888">
        <v>18118675.945</v>
      </c>
      <c r="I85" s="888">
        <v>16635992.464</v>
      </c>
      <c r="J85" s="888">
        <v>40226346.888999999</v>
      </c>
      <c r="K85" s="888">
        <v>29522253.875</v>
      </c>
      <c r="L85" s="888">
        <v>100713571.29000001</v>
      </c>
      <c r="M85" s="889">
        <f>SUM(B85:L85)</f>
        <v>237279873.06999999</v>
      </c>
    </row>
    <row r="86" spans="1:13" s="877" customFormat="1" ht="17.100000000000001" customHeight="1">
      <c r="A86" s="881" t="s">
        <v>594</v>
      </c>
      <c r="B86" s="891">
        <v>7142454.0997000001</v>
      </c>
      <c r="C86" s="891">
        <v>22607275.844999999</v>
      </c>
      <c r="D86" s="891">
        <v>33253216.319000006</v>
      </c>
      <c r="E86" s="891">
        <v>47966068.894999996</v>
      </c>
      <c r="F86" s="891">
        <v>57979803.409999996</v>
      </c>
      <c r="G86" s="891">
        <v>51713754.414000005</v>
      </c>
      <c r="H86" s="891">
        <v>112347640.382</v>
      </c>
      <c r="I86" s="891">
        <v>109967569.20899999</v>
      </c>
      <c r="J86" s="891">
        <v>264150271.877</v>
      </c>
      <c r="K86" s="891">
        <v>236933169.19</v>
      </c>
      <c r="L86" s="891">
        <v>769999655.51300001</v>
      </c>
      <c r="M86" s="889">
        <f>SUM(B86:L86)</f>
        <v>1714060879.1537001</v>
      </c>
    </row>
    <row r="87" spans="1:13" ht="18" customHeight="1">
      <c r="A87" s="407" t="s">
        <v>827</v>
      </c>
      <c r="B87" s="408"/>
      <c r="C87" s="408"/>
      <c r="D87" s="408"/>
      <c r="E87" s="408"/>
      <c r="F87" s="408"/>
      <c r="G87" s="408"/>
      <c r="H87" s="408"/>
      <c r="I87" s="408"/>
      <c r="J87" s="408"/>
      <c r="K87" s="408"/>
      <c r="L87" s="408"/>
      <c r="M87" s="409"/>
    </row>
    <row r="88" spans="1:13" ht="17.100000000000001" customHeight="1">
      <c r="A88" s="400" t="s">
        <v>804</v>
      </c>
      <c r="B88" s="399"/>
      <c r="C88" s="399"/>
      <c r="D88" s="399"/>
      <c r="E88" s="399"/>
      <c r="F88" s="399"/>
      <c r="G88" s="399"/>
      <c r="H88" s="399"/>
      <c r="I88" s="399"/>
      <c r="J88" s="399"/>
      <c r="K88" s="399"/>
      <c r="L88" s="399"/>
    </row>
    <row r="89" spans="1:13" ht="17.100000000000001" customHeight="1">
      <c r="A89" s="401" t="str">
        <f>A46</f>
        <v>Taxable Year 2010</v>
      </c>
      <c r="B89" s="399"/>
      <c r="C89" s="399"/>
      <c r="D89" s="399"/>
      <c r="E89" s="399"/>
      <c r="F89" s="399"/>
      <c r="G89" s="399"/>
      <c r="H89" s="399"/>
      <c r="I89" s="399"/>
      <c r="J89" s="399"/>
      <c r="K89" s="399"/>
      <c r="L89" s="399"/>
    </row>
    <row r="90" spans="1:13" ht="17.100000000000001" customHeight="1" thickBot="1">
      <c r="B90" s="410">
        <f t="shared" ref="B90:M90" si="1">SUM(B52:B86)</f>
        <v>114169485.6278</v>
      </c>
      <c r="C90" s="410">
        <f t="shared" si="1"/>
        <v>341880624.36240005</v>
      </c>
      <c r="D90" s="410">
        <f t="shared" si="1"/>
        <v>550935837.046</v>
      </c>
      <c r="E90" s="410">
        <f t="shared" si="1"/>
        <v>734928756.64300013</v>
      </c>
      <c r="F90" s="410">
        <f t="shared" si="1"/>
        <v>898830442.81099999</v>
      </c>
      <c r="G90" s="410">
        <f t="shared" si="1"/>
        <v>988758856.64859986</v>
      </c>
      <c r="H90" s="410">
        <f t="shared" si="1"/>
        <v>2159654817.4252005</v>
      </c>
      <c r="I90" s="410">
        <f t="shared" si="1"/>
        <v>2177138850.3230004</v>
      </c>
      <c r="J90" s="410">
        <f t="shared" si="1"/>
        <v>5282167545.2566004</v>
      </c>
      <c r="K90" s="410">
        <f t="shared" si="1"/>
        <v>5073109812.0879974</v>
      </c>
      <c r="L90" s="410">
        <f t="shared" si="1"/>
        <v>24122061368.949005</v>
      </c>
      <c r="M90" s="410">
        <f t="shared" si="1"/>
        <v>42443636397.180595</v>
      </c>
    </row>
    <row r="91" spans="1:13" ht="17.100000000000001" customHeight="1">
      <c r="A91" s="874"/>
      <c r="B91" s="892"/>
      <c r="C91" s="876"/>
      <c r="D91" s="876"/>
      <c r="E91" s="876"/>
      <c r="F91" s="876"/>
      <c r="G91" s="876"/>
      <c r="H91" s="876"/>
      <c r="I91" s="876"/>
      <c r="J91" s="876"/>
      <c r="K91" s="876"/>
      <c r="L91" s="876"/>
      <c r="M91" s="876" t="s">
        <v>25</v>
      </c>
    </row>
    <row r="92" spans="1:13" ht="17.100000000000001" customHeight="1">
      <c r="A92" s="878"/>
      <c r="B92" s="879"/>
      <c r="C92" s="879" t="s">
        <v>806</v>
      </c>
      <c r="D92" s="879" t="s">
        <v>807</v>
      </c>
      <c r="E92" s="879" t="s">
        <v>808</v>
      </c>
      <c r="F92" s="879" t="s">
        <v>809</v>
      </c>
      <c r="G92" s="879" t="s">
        <v>810</v>
      </c>
      <c r="H92" s="879" t="s">
        <v>811</v>
      </c>
      <c r="I92" s="879" t="s">
        <v>812</v>
      </c>
      <c r="J92" s="879" t="s">
        <v>813</v>
      </c>
      <c r="K92" s="879" t="s">
        <v>814</v>
      </c>
      <c r="L92" s="879" t="s">
        <v>815</v>
      </c>
      <c r="M92" s="879" t="s">
        <v>476</v>
      </c>
    </row>
    <row r="93" spans="1:13" ht="17.100000000000001" customHeight="1">
      <c r="A93" s="880" t="s">
        <v>33</v>
      </c>
      <c r="B93" s="879" t="s">
        <v>816</v>
      </c>
      <c r="C93" s="879" t="s">
        <v>817</v>
      </c>
      <c r="D93" s="879" t="s">
        <v>818</v>
      </c>
      <c r="E93" s="879" t="s">
        <v>819</v>
      </c>
      <c r="F93" s="879" t="s">
        <v>820</v>
      </c>
      <c r="G93" s="879" t="s">
        <v>821</v>
      </c>
      <c r="H93" s="879" t="s">
        <v>822</v>
      </c>
      <c r="I93" s="879" t="s">
        <v>823</v>
      </c>
      <c r="J93" s="879" t="s">
        <v>824</v>
      </c>
      <c r="K93" s="879" t="s">
        <v>825</v>
      </c>
      <c r="L93" s="879" t="s">
        <v>826</v>
      </c>
      <c r="M93" s="879" t="s">
        <v>32</v>
      </c>
    </row>
    <row r="94" spans="1:13" ht="17.100000000000001" customHeight="1">
      <c r="A94" s="881"/>
      <c r="B94" s="893"/>
      <c r="C94" s="893"/>
      <c r="D94" s="893"/>
      <c r="E94" s="893"/>
      <c r="F94" s="893"/>
      <c r="G94" s="893"/>
      <c r="H94" s="893"/>
      <c r="I94" s="893"/>
      <c r="J94" s="893"/>
      <c r="K94" s="893"/>
      <c r="L94" s="893"/>
      <c r="M94" s="883"/>
    </row>
    <row r="95" spans="1:13" s="877" customFormat="1" ht="17.100000000000001" customHeight="1">
      <c r="A95" s="887" t="s">
        <v>596</v>
      </c>
      <c r="B95" s="885">
        <v>1257933.5190000001</v>
      </c>
      <c r="C95" s="885">
        <v>3796406.9379999996</v>
      </c>
      <c r="D95" s="885">
        <v>6534248.6050000004</v>
      </c>
      <c r="E95" s="885">
        <v>8726911.6459999997</v>
      </c>
      <c r="F95" s="885">
        <v>11462705.105</v>
      </c>
      <c r="G95" s="885">
        <v>15404934</v>
      </c>
      <c r="H95" s="885">
        <v>27354536.226</v>
      </c>
      <c r="I95" s="885">
        <v>23915628.633000001</v>
      </c>
      <c r="J95" s="885">
        <v>55469616.523000002</v>
      </c>
      <c r="K95" s="885">
        <v>48816240.195</v>
      </c>
      <c r="L95" s="885">
        <v>121331018.19499999</v>
      </c>
      <c r="M95" s="884">
        <f>SUM(B95:L95)</f>
        <v>324070179.58499998</v>
      </c>
    </row>
    <row r="96" spans="1:13" s="877" customFormat="1" ht="17.100000000000001" customHeight="1">
      <c r="A96" s="887" t="s">
        <v>599</v>
      </c>
      <c r="B96" s="888">
        <v>1337561.858</v>
      </c>
      <c r="C96" s="888">
        <v>4154212.1330000004</v>
      </c>
      <c r="D96" s="888">
        <v>5488267.4299999997</v>
      </c>
      <c r="E96" s="888">
        <v>9003538.2280000001</v>
      </c>
      <c r="F96" s="888">
        <v>10279019.397000002</v>
      </c>
      <c r="G96" s="888">
        <v>11509182.675999999</v>
      </c>
      <c r="H96" s="888">
        <v>27266480.083999999</v>
      </c>
      <c r="I96" s="888">
        <v>31553727.223999999</v>
      </c>
      <c r="J96" s="888">
        <v>82368783.592000008</v>
      </c>
      <c r="K96" s="888">
        <v>85810536.194999993</v>
      </c>
      <c r="L96" s="888">
        <v>258225456.87200001</v>
      </c>
      <c r="M96" s="889">
        <f>SUM(B96:L96)</f>
        <v>526996765.68900001</v>
      </c>
    </row>
    <row r="97" spans="1:13" s="877" customFormat="1" ht="17.100000000000001" customHeight="1">
      <c r="A97" s="887" t="s">
        <v>601</v>
      </c>
      <c r="B97" s="888">
        <v>1348858.9939999999</v>
      </c>
      <c r="C97" s="888">
        <v>4521237.9369999999</v>
      </c>
      <c r="D97" s="888">
        <v>6957306.7280000001</v>
      </c>
      <c r="E97" s="888">
        <v>9369767.9279999994</v>
      </c>
      <c r="F97" s="888">
        <v>11605104.142000001</v>
      </c>
      <c r="G97" s="888">
        <v>11561361.776999999</v>
      </c>
      <c r="H97" s="888">
        <v>20942814.608000003</v>
      </c>
      <c r="I97" s="888">
        <v>16712269.520000001</v>
      </c>
      <c r="J97" s="888">
        <v>33203303</v>
      </c>
      <c r="K97" s="888">
        <v>25500656.989</v>
      </c>
      <c r="L97" s="888">
        <v>87897363.178000003</v>
      </c>
      <c r="M97" s="889">
        <f>SUM(B97:L97)</f>
        <v>229620044.801</v>
      </c>
    </row>
    <row r="98" spans="1:13" s="877" customFormat="1" ht="17.100000000000001" customHeight="1">
      <c r="A98" s="887" t="s">
        <v>604</v>
      </c>
      <c r="B98" s="888">
        <v>872239.65100000007</v>
      </c>
      <c r="C98" s="888">
        <v>3583712.9079999998</v>
      </c>
      <c r="D98" s="888">
        <v>5870987.9939999999</v>
      </c>
      <c r="E98" s="888">
        <v>8999332.0260000005</v>
      </c>
      <c r="F98" s="888">
        <v>9770387.6469999999</v>
      </c>
      <c r="G98" s="888">
        <v>11102769.74</v>
      </c>
      <c r="H98" s="888">
        <v>22142436.677000001</v>
      </c>
      <c r="I98" s="888">
        <v>20139848</v>
      </c>
      <c r="J98" s="888">
        <v>47768227.828000002</v>
      </c>
      <c r="K98" s="888">
        <v>37808485</v>
      </c>
      <c r="L98" s="888">
        <v>107539891</v>
      </c>
      <c r="M98" s="889">
        <f>SUM(B98:L98)</f>
        <v>275598318.47100002</v>
      </c>
    </row>
    <row r="99" spans="1:13" s="877" customFormat="1" ht="17.100000000000001" customHeight="1">
      <c r="A99" s="887" t="s">
        <v>607</v>
      </c>
      <c r="B99" s="888">
        <v>1252375.6869999999</v>
      </c>
      <c r="C99" s="888">
        <v>3910845.7349999999</v>
      </c>
      <c r="D99" s="888">
        <v>7465703.7560000001</v>
      </c>
      <c r="E99" s="888">
        <v>10321870.161</v>
      </c>
      <c r="F99" s="888">
        <v>11462239.305</v>
      </c>
      <c r="G99" s="888">
        <v>12902473.060000001</v>
      </c>
      <c r="H99" s="888">
        <v>26955809.563999999</v>
      </c>
      <c r="I99" s="888">
        <v>19590206.862</v>
      </c>
      <c r="J99" s="888">
        <v>41701121.265000001</v>
      </c>
      <c r="K99" s="888">
        <v>29346652.434999999</v>
      </c>
      <c r="L99" s="888">
        <v>59521723.640000001</v>
      </c>
      <c r="M99" s="889">
        <f>SUM(B99:L99)</f>
        <v>224431021.47000003</v>
      </c>
    </row>
    <row r="100" spans="1:13" s="877" customFormat="1" ht="17.100000000000001" customHeight="1">
      <c r="A100" s="887"/>
      <c r="B100" s="888"/>
      <c r="C100" s="888"/>
      <c r="D100" s="888"/>
      <c r="E100" s="888"/>
      <c r="F100" s="888"/>
      <c r="G100" s="888"/>
      <c r="H100" s="888"/>
      <c r="I100" s="888"/>
      <c r="J100" s="888"/>
      <c r="K100" s="888"/>
      <c r="L100" s="888"/>
      <c r="M100" s="889"/>
    </row>
    <row r="101" spans="1:13" s="877" customFormat="1" ht="17.100000000000001" customHeight="1">
      <c r="A101" s="887" t="s">
        <v>610</v>
      </c>
      <c r="B101" s="888">
        <v>2366999.142</v>
      </c>
      <c r="C101" s="888">
        <v>7965339.0750000002</v>
      </c>
      <c r="D101" s="888">
        <v>12257798.623999998</v>
      </c>
      <c r="E101" s="888">
        <v>17547930.158000004</v>
      </c>
      <c r="F101" s="888">
        <v>21663327.686000001</v>
      </c>
      <c r="G101" s="888">
        <v>25465666.346000001</v>
      </c>
      <c r="H101" s="888">
        <v>54600295.892999992</v>
      </c>
      <c r="I101" s="888">
        <v>55353992.059</v>
      </c>
      <c r="J101" s="888">
        <v>139140634.94600001</v>
      </c>
      <c r="K101" s="888">
        <v>129761185.325</v>
      </c>
      <c r="L101" s="888">
        <v>299030200.00999999</v>
      </c>
      <c r="M101" s="889">
        <f>SUM(B101:L101)</f>
        <v>765153369.26399994</v>
      </c>
    </row>
    <row r="102" spans="1:13" s="877" customFormat="1" ht="17.100000000000001" customHeight="1">
      <c r="A102" s="887" t="s">
        <v>613</v>
      </c>
      <c r="B102" s="888">
        <v>2273615.5410000002</v>
      </c>
      <c r="C102" s="888">
        <v>7264958.6940000001</v>
      </c>
      <c r="D102" s="888">
        <v>11770003.567</v>
      </c>
      <c r="E102" s="888">
        <v>15454301</v>
      </c>
      <c r="F102" s="888">
        <v>19484404.482999999</v>
      </c>
      <c r="G102" s="888">
        <v>21233238.505000003</v>
      </c>
      <c r="H102" s="888">
        <v>40644746.122999996</v>
      </c>
      <c r="I102" s="888">
        <v>37178084</v>
      </c>
      <c r="J102" s="888">
        <v>85786677.894999996</v>
      </c>
      <c r="K102" s="888">
        <v>61153335.101000004</v>
      </c>
      <c r="L102" s="967">
        <v>202702922.171</v>
      </c>
      <c r="M102" s="890">
        <f>SUM(B102:L102)</f>
        <v>504946287.07999998</v>
      </c>
    </row>
    <row r="103" spans="1:13" s="877" customFormat="1" ht="17.100000000000001" customHeight="1">
      <c r="A103" s="887" t="s">
        <v>616</v>
      </c>
      <c r="B103" s="888">
        <v>1722140.8350000002</v>
      </c>
      <c r="C103" s="888">
        <v>5144363.5020000003</v>
      </c>
      <c r="D103" s="888">
        <v>8631975.8560000006</v>
      </c>
      <c r="E103" s="888">
        <v>14145998.302000001</v>
      </c>
      <c r="F103" s="888">
        <v>14605112.755000001</v>
      </c>
      <c r="G103" s="888">
        <v>14686107.534</v>
      </c>
      <c r="H103" s="888">
        <v>26917269.420000002</v>
      </c>
      <c r="I103" s="888">
        <v>25825332.061000001</v>
      </c>
      <c r="J103" s="888">
        <v>49880669.32</v>
      </c>
      <c r="K103" s="888">
        <v>27778486.987</v>
      </c>
      <c r="L103" s="888">
        <v>48712060.756999999</v>
      </c>
      <c r="M103" s="889">
        <f>SUM(B103:L103)</f>
        <v>238049517.329</v>
      </c>
    </row>
    <row r="104" spans="1:13" s="877" customFormat="1" ht="17.100000000000001" customHeight="1">
      <c r="A104" s="887" t="s">
        <v>619</v>
      </c>
      <c r="B104" s="888">
        <v>5051060.6623999998</v>
      </c>
      <c r="C104" s="888">
        <v>17504528.175000001</v>
      </c>
      <c r="D104" s="888">
        <v>30237860.931000002</v>
      </c>
      <c r="E104" s="888">
        <v>40687149.702</v>
      </c>
      <c r="F104" s="888">
        <v>49619711.293000005</v>
      </c>
      <c r="G104" s="888">
        <v>51912272.844000004</v>
      </c>
      <c r="H104" s="888">
        <v>103882481.88999999</v>
      </c>
      <c r="I104" s="888">
        <v>91608591.220999986</v>
      </c>
      <c r="J104" s="888">
        <v>222385058.21700001</v>
      </c>
      <c r="K104" s="888">
        <v>159011786.824</v>
      </c>
      <c r="L104" s="888">
        <v>237648299.572</v>
      </c>
      <c r="M104" s="889">
        <f>SUM(B104:L104)</f>
        <v>1009548801.3314</v>
      </c>
    </row>
    <row r="105" spans="1:13" s="877" customFormat="1" ht="17.100000000000001" customHeight="1">
      <c r="A105" s="887" t="s">
        <v>622</v>
      </c>
      <c r="B105" s="888">
        <v>1884231.594</v>
      </c>
      <c r="C105" s="888">
        <v>5369738.9950000001</v>
      </c>
      <c r="D105" s="888">
        <v>8155378.7239999995</v>
      </c>
      <c r="E105" s="888">
        <v>10504721.481000001</v>
      </c>
      <c r="F105" s="888">
        <v>14009227.786</v>
      </c>
      <c r="G105" s="888">
        <v>15022378</v>
      </c>
      <c r="H105" s="888">
        <v>35880862.572999999</v>
      </c>
      <c r="I105" s="888">
        <v>39596589.152000003</v>
      </c>
      <c r="J105" s="888">
        <v>104184397.914</v>
      </c>
      <c r="K105" s="888">
        <v>116541824</v>
      </c>
      <c r="L105" s="888">
        <v>410823743.412</v>
      </c>
      <c r="M105" s="889">
        <f>SUM(B105:L105)</f>
        <v>761973093.63100004</v>
      </c>
    </row>
    <row r="106" spans="1:13" s="877" customFormat="1" ht="17.100000000000001" customHeight="1">
      <c r="A106" s="887"/>
      <c r="B106" s="889"/>
      <c r="C106" s="889"/>
      <c r="D106" s="889"/>
      <c r="E106" s="889"/>
      <c r="F106" s="889"/>
      <c r="G106" s="889"/>
      <c r="H106" s="889"/>
      <c r="I106" s="889"/>
      <c r="J106" s="889"/>
      <c r="K106" s="889"/>
      <c r="L106" s="889"/>
      <c r="M106" s="889"/>
    </row>
    <row r="107" spans="1:13" s="877" customFormat="1" ht="17.100000000000001" customHeight="1">
      <c r="A107" s="887" t="s">
        <v>625</v>
      </c>
      <c r="B107" s="889">
        <v>1609598.183</v>
      </c>
      <c r="C107" s="888">
        <v>5546787.5329999998</v>
      </c>
      <c r="D107" s="888">
        <v>9672801.5810000002</v>
      </c>
      <c r="E107" s="889">
        <v>12910303.477000002</v>
      </c>
      <c r="F107" s="889">
        <v>13088052.529999999</v>
      </c>
      <c r="G107" s="888">
        <v>14960398.092</v>
      </c>
      <c r="H107" s="888">
        <v>31680872.312000003</v>
      </c>
      <c r="I107" s="888">
        <v>25571760.666000001</v>
      </c>
      <c r="J107" s="888">
        <v>53819947.592999995</v>
      </c>
      <c r="K107" s="888">
        <v>37121796.307999998</v>
      </c>
      <c r="L107" s="888">
        <v>83687911.626999989</v>
      </c>
      <c r="M107" s="889">
        <f>SUM(B107:L107)</f>
        <v>289670229.90200001</v>
      </c>
    </row>
    <row r="108" spans="1:13" s="877" customFormat="1" ht="17.100000000000001" customHeight="1">
      <c r="A108" s="887" t="s">
        <v>627</v>
      </c>
      <c r="B108" s="888">
        <v>2028549.72</v>
      </c>
      <c r="C108" s="888">
        <v>6907238.1520000007</v>
      </c>
      <c r="D108" s="888">
        <v>11310966.59</v>
      </c>
      <c r="E108" s="888">
        <v>14339374.060000001</v>
      </c>
      <c r="F108" s="888">
        <v>16913559.116</v>
      </c>
      <c r="G108" s="888">
        <v>19762088.605</v>
      </c>
      <c r="H108" s="888">
        <v>44157877.291999996</v>
      </c>
      <c r="I108" s="888">
        <v>43619662.732999995</v>
      </c>
      <c r="J108" s="888">
        <v>108663265.52000001</v>
      </c>
      <c r="K108" s="888">
        <v>115623054.45</v>
      </c>
      <c r="L108" s="888">
        <v>268052964.42399999</v>
      </c>
      <c r="M108" s="889">
        <f>SUM(B108:L108)</f>
        <v>651378600.66200006</v>
      </c>
    </row>
    <row r="109" spans="1:13" s="877" customFormat="1" ht="17.100000000000001" customHeight="1">
      <c r="A109" s="887" t="s">
        <v>630</v>
      </c>
      <c r="B109" s="888">
        <v>26574007.327399999</v>
      </c>
      <c r="C109" s="888">
        <v>82834592.771499991</v>
      </c>
      <c r="D109" s="888">
        <v>131082509.05900002</v>
      </c>
      <c r="E109" s="888">
        <v>170807348.35999998</v>
      </c>
      <c r="F109" s="888">
        <v>201400235.24360001</v>
      </c>
      <c r="G109" s="888">
        <v>231613794.833</v>
      </c>
      <c r="H109" s="888">
        <v>539237447.08700001</v>
      </c>
      <c r="I109" s="888">
        <v>597990701.01099992</v>
      </c>
      <c r="J109" s="888">
        <v>1543620050.4205999</v>
      </c>
      <c r="K109" s="888">
        <v>1545107539.0350001</v>
      </c>
      <c r="L109" s="888">
        <v>7362457757.1020002</v>
      </c>
      <c r="M109" s="889">
        <f>SUM(B109:L109)</f>
        <v>12432725982.250099</v>
      </c>
    </row>
    <row r="110" spans="1:13" s="877" customFormat="1" ht="17.100000000000001" customHeight="1">
      <c r="A110" s="887" t="s">
        <v>632</v>
      </c>
      <c r="B110" s="888">
        <v>2769555.5860000001</v>
      </c>
      <c r="C110" s="888">
        <v>10028789.175000001</v>
      </c>
      <c r="D110" s="888">
        <v>16078262.166000001</v>
      </c>
      <c r="E110" s="888">
        <v>21458657.493999999</v>
      </c>
      <c r="F110" s="888">
        <v>23660161.147999998</v>
      </c>
      <c r="G110" s="888">
        <v>25322953.592</v>
      </c>
      <c r="H110" s="888">
        <v>51729362.333000004</v>
      </c>
      <c r="I110" s="888">
        <v>53050972.655000001</v>
      </c>
      <c r="J110" s="888">
        <v>122859256.63</v>
      </c>
      <c r="K110" s="888">
        <v>88313984.82599999</v>
      </c>
      <c r="L110" s="888">
        <v>142333227.699</v>
      </c>
      <c r="M110" s="889">
        <f>SUM(B110:L110)</f>
        <v>557605183.30400002</v>
      </c>
    </row>
    <row r="111" spans="1:13" s="877" customFormat="1" ht="17.100000000000001" customHeight="1">
      <c r="A111" s="887" t="s">
        <v>635</v>
      </c>
      <c r="B111" s="888">
        <v>569593.20500000007</v>
      </c>
      <c r="C111" s="888">
        <v>1559541.5020000001</v>
      </c>
      <c r="D111" s="888">
        <v>3052908.7060000002</v>
      </c>
      <c r="E111" s="888">
        <v>3387922.45</v>
      </c>
      <c r="F111" s="888">
        <v>4854778.7970000003</v>
      </c>
      <c r="G111" s="888">
        <v>4891691.9579999996</v>
      </c>
      <c r="H111" s="888">
        <v>10786110.16</v>
      </c>
      <c r="I111" s="888">
        <v>13112733</v>
      </c>
      <c r="J111" s="888">
        <v>31832179.598000001</v>
      </c>
      <c r="K111" s="888">
        <v>28620836.417999998</v>
      </c>
      <c r="L111" s="888">
        <v>127486776.245</v>
      </c>
      <c r="M111" s="889">
        <f>SUM(B111:L111)</f>
        <v>230155072.039</v>
      </c>
    </row>
    <row r="112" spans="1:13" s="877" customFormat="1" ht="17.100000000000001" customHeight="1">
      <c r="A112" s="887"/>
      <c r="B112" s="888"/>
      <c r="C112" s="888"/>
      <c r="D112" s="888"/>
      <c r="E112" s="888"/>
      <c r="F112" s="888"/>
      <c r="G112" s="888"/>
      <c r="H112" s="888"/>
      <c r="I112" s="888"/>
      <c r="J112" s="888"/>
      <c r="K112" s="888"/>
      <c r="L112" s="888"/>
      <c r="M112" s="889"/>
    </row>
    <row r="113" spans="1:13" s="877" customFormat="1" ht="17.100000000000001" customHeight="1">
      <c r="A113" s="887" t="s">
        <v>565</v>
      </c>
      <c r="B113" s="888">
        <v>1711226.6240000001</v>
      </c>
      <c r="C113" s="888">
        <v>4570156.0510999998</v>
      </c>
      <c r="D113" s="888">
        <v>5565399.2980000004</v>
      </c>
      <c r="E113" s="888">
        <v>7653659.9509999994</v>
      </c>
      <c r="F113" s="888">
        <v>8037686.1030000001</v>
      </c>
      <c r="G113" s="888">
        <v>8213013.2739999993</v>
      </c>
      <c r="H113" s="888">
        <v>18027553.002999999</v>
      </c>
      <c r="I113" s="888">
        <v>14132952.429</v>
      </c>
      <c r="J113" s="888">
        <v>33112235.344999999</v>
      </c>
      <c r="K113" s="888">
        <v>24038820.090999998</v>
      </c>
      <c r="L113" s="888">
        <v>76820686.369000003</v>
      </c>
      <c r="M113" s="889">
        <f>SUM(B113:L113)</f>
        <v>201883388.5381</v>
      </c>
    </row>
    <row r="114" spans="1:13" s="877" customFormat="1" ht="17.100000000000001" customHeight="1">
      <c r="A114" s="887" t="s">
        <v>569</v>
      </c>
      <c r="B114" s="888">
        <v>8397176.4499999993</v>
      </c>
      <c r="C114" s="888">
        <v>23697697.314999998</v>
      </c>
      <c r="D114" s="888">
        <v>35749496.787</v>
      </c>
      <c r="E114" s="888">
        <v>46476615.807999998</v>
      </c>
      <c r="F114" s="888">
        <v>60654720.784999996</v>
      </c>
      <c r="G114" s="888">
        <v>70516074.492999986</v>
      </c>
      <c r="H114" s="888">
        <v>151946232.56699997</v>
      </c>
      <c r="I114" s="888">
        <v>154785833.338</v>
      </c>
      <c r="J114" s="888">
        <v>397649160.47899997</v>
      </c>
      <c r="K114" s="888">
        <v>376972042.09099996</v>
      </c>
      <c r="L114" s="888">
        <v>1162107778.204</v>
      </c>
      <c r="M114" s="889">
        <f>SUM(B114:L114)</f>
        <v>2488952828.3169999</v>
      </c>
    </row>
    <row r="115" spans="1:13" s="877" customFormat="1" ht="17.100000000000001" customHeight="1">
      <c r="A115" s="887" t="s">
        <v>642</v>
      </c>
      <c r="B115" s="888">
        <v>1897001.2209999999</v>
      </c>
      <c r="C115" s="888">
        <v>5514224.6849999996</v>
      </c>
      <c r="D115" s="888">
        <v>9701152.756000001</v>
      </c>
      <c r="E115" s="888">
        <v>13570942.039000001</v>
      </c>
      <c r="F115" s="888">
        <v>16733611.278999999</v>
      </c>
      <c r="G115" s="888">
        <v>17040449.362</v>
      </c>
      <c r="H115" s="888">
        <v>37387347.649000004</v>
      </c>
      <c r="I115" s="888">
        <v>32711913.972999997</v>
      </c>
      <c r="J115" s="888">
        <v>75241671.373999998</v>
      </c>
      <c r="K115" s="888">
        <v>58014192.612000003</v>
      </c>
      <c r="L115" s="888">
        <v>140754700.10600001</v>
      </c>
      <c r="M115" s="889">
        <f>SUM(B115:L115)</f>
        <v>408567207.05599999</v>
      </c>
    </row>
    <row r="116" spans="1:13" s="877" customFormat="1" ht="17.100000000000001" customHeight="1">
      <c r="A116" s="887" t="s">
        <v>645</v>
      </c>
      <c r="B116" s="888">
        <v>6018809.466</v>
      </c>
      <c r="C116" s="888">
        <v>19809670.686999999</v>
      </c>
      <c r="D116" s="888">
        <v>31236888.196999997</v>
      </c>
      <c r="E116" s="888">
        <v>46377175.800999999</v>
      </c>
      <c r="F116" s="888">
        <v>60098094.983999997</v>
      </c>
      <c r="G116" s="888">
        <v>68195276.618999988</v>
      </c>
      <c r="H116" s="888">
        <v>135691281.08200002</v>
      </c>
      <c r="I116" s="888">
        <v>140447862.55699998</v>
      </c>
      <c r="J116" s="888">
        <v>309526119.62400001</v>
      </c>
      <c r="K116" s="888">
        <v>237043684.12399998</v>
      </c>
      <c r="L116" s="888">
        <v>535468872.829</v>
      </c>
      <c r="M116" s="889">
        <f>SUM(B116:L116)</f>
        <v>1589913735.9699998</v>
      </c>
    </row>
    <row r="117" spans="1:13" s="877" customFormat="1" ht="17.100000000000001" customHeight="1">
      <c r="A117" s="887" t="s">
        <v>648</v>
      </c>
      <c r="B117" s="888">
        <v>2073076.9210000001</v>
      </c>
      <c r="C117" s="888">
        <v>7150320.5370000005</v>
      </c>
      <c r="D117" s="888">
        <v>12423156.890000001</v>
      </c>
      <c r="E117" s="888">
        <v>15819132.374</v>
      </c>
      <c r="F117" s="888">
        <v>17962302.331999999</v>
      </c>
      <c r="G117" s="888">
        <v>18263596.987</v>
      </c>
      <c r="H117" s="888">
        <v>40013321.232000001</v>
      </c>
      <c r="I117" s="888">
        <v>39884758.397</v>
      </c>
      <c r="J117" s="888">
        <v>90722418.429999992</v>
      </c>
      <c r="K117" s="888">
        <v>66212469.218000002</v>
      </c>
      <c r="L117" s="888">
        <v>103756766.961</v>
      </c>
      <c r="M117" s="889">
        <f>SUM(B117:L117)</f>
        <v>414281320.27900004</v>
      </c>
    </row>
    <row r="118" spans="1:13" s="877" customFormat="1" ht="17.100000000000001" customHeight="1">
      <c r="A118" s="887"/>
      <c r="B118" s="888"/>
      <c r="C118" s="889"/>
      <c r="D118" s="889"/>
      <c r="E118" s="889"/>
      <c r="F118" s="889"/>
      <c r="G118" s="889"/>
      <c r="H118" s="889"/>
      <c r="I118" s="889"/>
      <c r="J118" s="889"/>
      <c r="K118" s="889"/>
      <c r="L118" s="889"/>
      <c r="M118" s="889"/>
    </row>
    <row r="119" spans="1:13" s="877" customFormat="1" ht="17.100000000000001" customHeight="1">
      <c r="A119" s="887" t="s">
        <v>524</v>
      </c>
      <c r="B119" s="888">
        <v>2127654.5181</v>
      </c>
      <c r="C119" s="888">
        <v>6948940.4269999992</v>
      </c>
      <c r="D119" s="889">
        <v>11248832.610000001</v>
      </c>
      <c r="E119" s="888">
        <v>13764527.339</v>
      </c>
      <c r="F119" s="888">
        <v>16883928.265000001</v>
      </c>
      <c r="G119" s="889">
        <v>15548581.42</v>
      </c>
      <c r="H119" s="889">
        <v>34716457.393000007</v>
      </c>
      <c r="I119" s="888">
        <v>35341828.726999998</v>
      </c>
      <c r="J119" s="888">
        <v>74233782.349000007</v>
      </c>
      <c r="K119" s="888">
        <v>46511391.090000004</v>
      </c>
      <c r="L119" s="888">
        <v>72788002.145999998</v>
      </c>
      <c r="M119" s="889">
        <f>SUM(B119:L119)</f>
        <v>330113926.28410006</v>
      </c>
    </row>
    <row r="120" spans="1:13" s="877" customFormat="1" ht="17.100000000000001" customHeight="1">
      <c r="A120" s="887" t="s">
        <v>528</v>
      </c>
      <c r="B120" s="889">
        <v>3358878.6550000003</v>
      </c>
      <c r="C120" s="888">
        <v>10757116.247</v>
      </c>
      <c r="D120" s="888">
        <v>19283084.625</v>
      </c>
      <c r="E120" s="888">
        <v>24919298.811000001</v>
      </c>
      <c r="F120" s="888">
        <v>32862833.318999998</v>
      </c>
      <c r="G120" s="888">
        <v>35193164.134000003</v>
      </c>
      <c r="H120" s="888">
        <v>73042949.266000003</v>
      </c>
      <c r="I120" s="888">
        <v>73234366.833000004</v>
      </c>
      <c r="J120" s="888">
        <v>165464901.45700002</v>
      </c>
      <c r="K120" s="888">
        <v>140024890.49700001</v>
      </c>
      <c r="L120" s="888">
        <v>237220366.88599998</v>
      </c>
      <c r="M120" s="889">
        <f>SUM(B120:L120)</f>
        <v>815361850.73000002</v>
      </c>
    </row>
    <row r="121" spans="1:13" s="877" customFormat="1" ht="17.100000000000001" customHeight="1">
      <c r="A121" s="887" t="s">
        <v>532</v>
      </c>
      <c r="B121" s="888">
        <v>3112689.1090000002</v>
      </c>
      <c r="C121" s="888">
        <v>10115231.819</v>
      </c>
      <c r="D121" s="888">
        <v>16627891.559</v>
      </c>
      <c r="E121" s="888">
        <v>20504410.317000002</v>
      </c>
      <c r="F121" s="888">
        <v>24438484.605999999</v>
      </c>
      <c r="G121" s="888">
        <v>26674655.530999999</v>
      </c>
      <c r="H121" s="888">
        <v>56012905.317499995</v>
      </c>
      <c r="I121" s="888">
        <v>46891399.796999998</v>
      </c>
      <c r="J121" s="888">
        <v>96455459.277999997</v>
      </c>
      <c r="K121" s="888">
        <v>59651389.223000005</v>
      </c>
      <c r="L121" s="888">
        <v>91010183.196999997</v>
      </c>
      <c r="M121" s="889">
        <f>SUM(B121:L121)</f>
        <v>451494699.75349998</v>
      </c>
    </row>
    <row r="122" spans="1:13" s="877" customFormat="1" ht="17.100000000000001" customHeight="1">
      <c r="A122" s="887" t="s">
        <v>536</v>
      </c>
      <c r="B122" s="888">
        <v>1338004.3107999999</v>
      </c>
      <c r="C122" s="888">
        <v>4756632.3540000003</v>
      </c>
      <c r="D122" s="888">
        <v>7732859.754999999</v>
      </c>
      <c r="E122" s="888">
        <v>11302841.123</v>
      </c>
      <c r="F122" s="888">
        <v>12254234.643000001</v>
      </c>
      <c r="G122" s="888">
        <v>14351595.58</v>
      </c>
      <c r="H122" s="888">
        <v>30609003.784000002</v>
      </c>
      <c r="I122" s="888">
        <v>27016193.663000003</v>
      </c>
      <c r="J122" s="888">
        <v>66182366.013999999</v>
      </c>
      <c r="K122" s="888">
        <v>53054018.792999998</v>
      </c>
      <c r="L122" s="888">
        <v>107690243.21000001</v>
      </c>
      <c r="M122" s="889">
        <f>SUM(B122:L122)</f>
        <v>336287993.22979999</v>
      </c>
    </row>
    <row r="123" spans="1:13" s="877" customFormat="1" ht="17.100000000000001" customHeight="1">
      <c r="A123" s="887" t="s">
        <v>540</v>
      </c>
      <c r="B123" s="888">
        <v>9364347.9334999993</v>
      </c>
      <c r="C123" s="888">
        <v>27304718.429000001</v>
      </c>
      <c r="D123" s="888">
        <v>43754761.169</v>
      </c>
      <c r="E123" s="888">
        <v>54565937.439000003</v>
      </c>
      <c r="F123" s="888">
        <v>64318390.166000001</v>
      </c>
      <c r="G123" s="888">
        <v>68515566.457000002</v>
      </c>
      <c r="H123" s="888">
        <v>162885243.33200002</v>
      </c>
      <c r="I123" s="888">
        <v>175310529.90200001</v>
      </c>
      <c r="J123" s="888">
        <v>451381722.29500002</v>
      </c>
      <c r="K123" s="888">
        <v>489128292.02399999</v>
      </c>
      <c r="L123" s="888">
        <v>1710189161.1299999</v>
      </c>
      <c r="M123" s="889">
        <f>SUM(B123:L123)</f>
        <v>3256718670.2764997</v>
      </c>
    </row>
    <row r="124" spans="1:13" s="877" customFormat="1" ht="17.100000000000001" customHeight="1">
      <c r="A124" s="887"/>
      <c r="B124" s="888"/>
      <c r="C124" s="888"/>
      <c r="D124" s="888"/>
      <c r="E124" s="888"/>
      <c r="F124" s="888"/>
      <c r="G124" s="888"/>
      <c r="H124" s="888"/>
      <c r="I124" s="888"/>
      <c r="J124" s="888"/>
      <c r="K124" s="888"/>
      <c r="L124" s="888"/>
      <c r="M124" s="890"/>
    </row>
    <row r="125" spans="1:13" s="877" customFormat="1" ht="17.100000000000001" customHeight="1">
      <c r="A125" s="887" t="s">
        <v>544</v>
      </c>
      <c r="B125" s="888">
        <v>9182174.04734</v>
      </c>
      <c r="C125" s="888">
        <v>25637062.410000004</v>
      </c>
      <c r="D125" s="888">
        <v>36388971.75</v>
      </c>
      <c r="E125" s="888">
        <v>43623835.234999999</v>
      </c>
      <c r="F125" s="888">
        <v>50433578.693999998</v>
      </c>
      <c r="G125" s="888">
        <v>57095319.812999994</v>
      </c>
      <c r="H125" s="888">
        <v>134386773.97600001</v>
      </c>
      <c r="I125" s="888">
        <v>148156788.014</v>
      </c>
      <c r="J125" s="888">
        <v>397373464.43099999</v>
      </c>
      <c r="K125" s="888">
        <v>457803384.50800002</v>
      </c>
      <c r="L125" s="888">
        <v>2352179380.4110003</v>
      </c>
      <c r="M125" s="889">
        <f>SUM(B125:L125)</f>
        <v>3712260733.28934</v>
      </c>
    </row>
    <row r="126" spans="1:13" s="877" customFormat="1" ht="17.100000000000001" customHeight="1">
      <c r="A126" s="887" t="s">
        <v>548</v>
      </c>
      <c r="B126" s="888">
        <v>709643.76</v>
      </c>
      <c r="C126" s="888">
        <v>2349811.1170000001</v>
      </c>
      <c r="D126" s="888">
        <v>3686067.7589999996</v>
      </c>
      <c r="E126" s="888">
        <v>4009213.906</v>
      </c>
      <c r="F126" s="888">
        <v>5851423.358</v>
      </c>
      <c r="G126" s="888">
        <v>6056269.7769999998</v>
      </c>
      <c r="H126" s="888">
        <v>12455879.213</v>
      </c>
      <c r="I126" s="888">
        <v>11459040.756999999</v>
      </c>
      <c r="J126" s="888">
        <v>27144720.050999999</v>
      </c>
      <c r="K126" s="888">
        <v>21140173.607000001</v>
      </c>
      <c r="L126" s="888">
        <v>37558366.483000003</v>
      </c>
      <c r="M126" s="889">
        <f>SUM(B126:L126)</f>
        <v>132420609.78800002</v>
      </c>
    </row>
    <row r="127" spans="1:13" s="877" customFormat="1" ht="17.100000000000001" customHeight="1">
      <c r="A127" s="887" t="s">
        <v>552</v>
      </c>
      <c r="B127" s="888">
        <v>816500.71200000006</v>
      </c>
      <c r="C127" s="888">
        <v>2856492.8470000001</v>
      </c>
      <c r="D127" s="888">
        <v>4756926.898</v>
      </c>
      <c r="E127" s="888">
        <v>6432382.3290000008</v>
      </c>
      <c r="F127" s="888">
        <v>7540101.1229999997</v>
      </c>
      <c r="G127" s="888">
        <v>9038282.9389999993</v>
      </c>
      <c r="H127" s="888">
        <v>19168473.781999998</v>
      </c>
      <c r="I127" s="888">
        <v>14491557.565000001</v>
      </c>
      <c r="J127" s="888">
        <v>30343857.545000002</v>
      </c>
      <c r="K127" s="888">
        <v>21882385.717000004</v>
      </c>
      <c r="L127" s="888">
        <v>43368769.939999998</v>
      </c>
      <c r="M127" s="889">
        <f>SUM(B127:L127)</f>
        <v>160695731.39700001</v>
      </c>
    </row>
    <row r="128" spans="1:13" s="877" customFormat="1" ht="17.100000000000001" customHeight="1">
      <c r="A128" s="881" t="s">
        <v>556</v>
      </c>
      <c r="B128" s="888">
        <v>3323666.1718000006</v>
      </c>
      <c r="C128" s="888">
        <v>11145259.351000002</v>
      </c>
      <c r="D128" s="888">
        <v>19749378.476999998</v>
      </c>
      <c r="E128" s="888">
        <v>26689924.159000002</v>
      </c>
      <c r="F128" s="888">
        <v>30198067.695</v>
      </c>
      <c r="G128" s="888">
        <v>31901918.938000001</v>
      </c>
      <c r="H128" s="888">
        <v>62092908.554000005</v>
      </c>
      <c r="I128" s="888">
        <v>54918245.733999997</v>
      </c>
      <c r="J128" s="888">
        <v>136363001.93100002</v>
      </c>
      <c r="K128" s="888">
        <v>109003192.809</v>
      </c>
      <c r="L128" s="888">
        <v>322731390.83200002</v>
      </c>
      <c r="M128" s="889">
        <f>SUM(B128:L128)</f>
        <v>808116954.65180004</v>
      </c>
    </row>
    <row r="129" spans="1:14" s="877" customFormat="1" ht="17.100000000000001" customHeight="1">
      <c r="A129" s="881" t="s">
        <v>560</v>
      </c>
      <c r="B129" s="891">
        <v>2937781.3159999996</v>
      </c>
      <c r="C129" s="891">
        <v>9425956.6270000003</v>
      </c>
      <c r="D129" s="891">
        <v>15649980.984999999</v>
      </c>
      <c r="E129" s="891">
        <v>18991010.839000002</v>
      </c>
      <c r="F129" s="891">
        <v>22054128.173999999</v>
      </c>
      <c r="G129" s="891">
        <v>25381619.545000002</v>
      </c>
      <c r="H129" s="891">
        <v>57717395.736000001</v>
      </c>
      <c r="I129" s="891">
        <v>58594036.903999999</v>
      </c>
      <c r="J129" s="891">
        <v>150559539.26300001</v>
      </c>
      <c r="K129" s="891">
        <v>139347346.47600001</v>
      </c>
      <c r="L129" s="891">
        <v>334885697.634</v>
      </c>
      <c r="M129" s="889">
        <f>SUM(B129:L129)</f>
        <v>835544493.49900007</v>
      </c>
    </row>
    <row r="130" spans="1:14" ht="18">
      <c r="A130" s="407" t="s">
        <v>827</v>
      </c>
      <c r="B130" s="408"/>
      <c r="C130" s="408"/>
      <c r="D130" s="408"/>
      <c r="E130" s="408"/>
      <c r="F130" s="408"/>
      <c r="G130" s="408"/>
      <c r="H130" s="408"/>
      <c r="I130" s="408"/>
      <c r="J130" s="408"/>
      <c r="K130" s="408"/>
      <c r="L130" s="408"/>
      <c r="M130" s="409"/>
    </row>
    <row r="131" spans="1:14" ht="17.100000000000001" customHeight="1">
      <c r="A131" s="400" t="s">
        <v>804</v>
      </c>
      <c r="B131" s="399"/>
      <c r="C131" s="399"/>
      <c r="D131" s="399"/>
      <c r="E131" s="399"/>
      <c r="F131" s="399"/>
      <c r="G131" s="399"/>
      <c r="H131" s="399"/>
      <c r="I131" s="399"/>
      <c r="J131" s="399"/>
      <c r="K131" s="399"/>
      <c r="L131" s="399"/>
    </row>
    <row r="132" spans="1:14" ht="17.100000000000001" customHeight="1">
      <c r="A132" s="401" t="str">
        <f>A89</f>
        <v>Taxable Year 2010</v>
      </c>
      <c r="B132" s="399"/>
      <c r="C132" s="399"/>
      <c r="D132" s="399"/>
      <c r="E132" s="399"/>
      <c r="F132" s="399"/>
      <c r="G132" s="399"/>
      <c r="H132" s="399"/>
      <c r="I132" s="399"/>
      <c r="J132" s="399"/>
      <c r="K132" s="399"/>
      <c r="L132" s="399"/>
    </row>
    <row r="133" spans="1:14" ht="17.100000000000001" customHeight="1" thickBot="1">
      <c r="B133" s="410">
        <f t="shared" ref="B133:M133" si="2">SUM(B95:B129)</f>
        <v>109286952.72034001</v>
      </c>
      <c r="C133" s="410">
        <f t="shared" si="2"/>
        <v>342131584.1286</v>
      </c>
      <c r="D133" s="410">
        <f t="shared" si="2"/>
        <v>548121829.83200002</v>
      </c>
      <c r="E133" s="410">
        <f t="shared" si="2"/>
        <v>722366033.94300008</v>
      </c>
      <c r="F133" s="410">
        <f t="shared" si="2"/>
        <v>864199611.95960009</v>
      </c>
      <c r="G133" s="410">
        <f t="shared" si="2"/>
        <v>959336696.43099976</v>
      </c>
      <c r="H133" s="410">
        <f t="shared" si="2"/>
        <v>2090333128.1284997</v>
      </c>
      <c r="I133" s="410">
        <f t="shared" si="2"/>
        <v>2122197407.3869998</v>
      </c>
      <c r="J133" s="410">
        <f t="shared" si="2"/>
        <v>5224437610.1275997</v>
      </c>
      <c r="K133" s="410">
        <f t="shared" si="2"/>
        <v>4836144072.9680014</v>
      </c>
      <c r="L133" s="410">
        <f t="shared" si="2"/>
        <v>17145981682.242002</v>
      </c>
      <c r="M133" s="410">
        <f t="shared" si="2"/>
        <v>34964536609.867645</v>
      </c>
    </row>
    <row r="134" spans="1:14" ht="17.100000000000001" customHeight="1">
      <c r="A134" s="415"/>
      <c r="B134" s="416"/>
      <c r="C134" s="417"/>
      <c r="D134" s="417"/>
      <c r="E134" s="417"/>
      <c r="F134" s="417"/>
      <c r="G134" s="417"/>
      <c r="H134" s="417"/>
      <c r="I134" s="417"/>
      <c r="J134" s="417"/>
      <c r="K134" s="417"/>
      <c r="L134" s="417"/>
      <c r="M134" s="417" t="s">
        <v>25</v>
      </c>
    </row>
    <row r="135" spans="1:14" ht="17.100000000000001" customHeight="1">
      <c r="A135" s="878"/>
      <c r="B135" s="879"/>
      <c r="C135" s="879" t="s">
        <v>806</v>
      </c>
      <c r="D135" s="879" t="s">
        <v>807</v>
      </c>
      <c r="E135" s="879" t="s">
        <v>808</v>
      </c>
      <c r="F135" s="879" t="s">
        <v>809</v>
      </c>
      <c r="G135" s="879" t="s">
        <v>810</v>
      </c>
      <c r="H135" s="879" t="s">
        <v>811</v>
      </c>
      <c r="I135" s="879" t="s">
        <v>812</v>
      </c>
      <c r="J135" s="879" t="s">
        <v>813</v>
      </c>
      <c r="K135" s="879" t="s">
        <v>814</v>
      </c>
      <c r="L135" s="879" t="s">
        <v>815</v>
      </c>
      <c r="M135" s="879" t="s">
        <v>476</v>
      </c>
    </row>
    <row r="136" spans="1:14" ht="17.100000000000001" customHeight="1">
      <c r="A136" s="880" t="s">
        <v>33</v>
      </c>
      <c r="B136" s="879" t="s">
        <v>816</v>
      </c>
      <c r="C136" s="879" t="s">
        <v>817</v>
      </c>
      <c r="D136" s="879" t="s">
        <v>818</v>
      </c>
      <c r="E136" s="879" t="s">
        <v>819</v>
      </c>
      <c r="F136" s="879" t="s">
        <v>820</v>
      </c>
      <c r="G136" s="879" t="s">
        <v>821</v>
      </c>
      <c r="H136" s="879" t="s">
        <v>822</v>
      </c>
      <c r="I136" s="879" t="s">
        <v>823</v>
      </c>
      <c r="J136" s="879" t="s">
        <v>824</v>
      </c>
      <c r="K136" s="879" t="s">
        <v>825</v>
      </c>
      <c r="L136" s="879" t="s">
        <v>826</v>
      </c>
      <c r="M136" s="879" t="s">
        <v>32</v>
      </c>
    </row>
    <row r="137" spans="1:14" ht="17.100000000000001" customHeight="1">
      <c r="A137" s="881"/>
      <c r="B137" s="894"/>
      <c r="C137" s="894"/>
      <c r="D137" s="894"/>
      <c r="E137" s="894"/>
      <c r="F137" s="894"/>
      <c r="G137" s="894"/>
      <c r="H137" s="894"/>
      <c r="I137" s="894"/>
      <c r="J137" s="894"/>
      <c r="K137" s="894"/>
      <c r="L137" s="894"/>
      <c r="M137" s="883"/>
    </row>
    <row r="138" spans="1:14" s="418" customFormat="1" ht="17.100000000000001" customHeight="1">
      <c r="A138" s="884" t="s">
        <v>564</v>
      </c>
      <c r="B138" s="885">
        <v>4953445.6524</v>
      </c>
      <c r="C138" s="885">
        <v>16409502.768999999</v>
      </c>
      <c r="D138" s="885">
        <v>26123878.425999999</v>
      </c>
      <c r="E138" s="885">
        <v>35703138.969599992</v>
      </c>
      <c r="F138" s="885">
        <v>41394648.311999999</v>
      </c>
      <c r="G138" s="885">
        <v>47558783.824000008</v>
      </c>
      <c r="H138" s="885">
        <v>98169698.162600011</v>
      </c>
      <c r="I138" s="885">
        <v>87116871.406000003</v>
      </c>
      <c r="J138" s="885">
        <v>192169190.19999999</v>
      </c>
      <c r="K138" s="885">
        <v>135279632.60800001</v>
      </c>
      <c r="L138" s="968">
        <v>626874393.34200001</v>
      </c>
      <c r="M138" s="969">
        <f>SUM(B138:L138)</f>
        <v>1311753183.6716001</v>
      </c>
      <c r="N138" s="877"/>
    </row>
    <row r="139" spans="1:14" ht="17.100000000000001" customHeight="1">
      <c r="A139" s="887" t="s">
        <v>568</v>
      </c>
      <c r="B139" s="888">
        <v>1337381.5079999999</v>
      </c>
      <c r="C139" s="888">
        <v>5196605.926</v>
      </c>
      <c r="D139" s="888">
        <v>8944936.3019999992</v>
      </c>
      <c r="E139" s="888">
        <v>11893143.034</v>
      </c>
      <c r="F139" s="888">
        <v>13274173.733000001</v>
      </c>
      <c r="G139" s="888">
        <v>14105298.049000001</v>
      </c>
      <c r="H139" s="888">
        <v>28103226.020999998</v>
      </c>
      <c r="I139" s="888">
        <v>26534188.851999998</v>
      </c>
      <c r="J139" s="888">
        <v>62116464.917000003</v>
      </c>
      <c r="K139" s="888">
        <v>49898424.740000002</v>
      </c>
      <c r="L139" s="888">
        <v>110860939.49600001</v>
      </c>
      <c r="M139" s="889">
        <f>SUM(B139:L139)</f>
        <v>332264782.57800001</v>
      </c>
    </row>
    <row r="140" spans="1:14" ht="17.100000000000001" customHeight="1">
      <c r="A140" s="887" t="s">
        <v>572</v>
      </c>
      <c r="B140" s="888">
        <v>3202688.0789999999</v>
      </c>
      <c r="C140" s="888">
        <v>10480548.446</v>
      </c>
      <c r="D140" s="888">
        <v>16787641.568999998</v>
      </c>
      <c r="E140" s="888">
        <v>21591658.541999999</v>
      </c>
      <c r="F140" s="888">
        <v>22516319.465999998</v>
      </c>
      <c r="G140" s="888">
        <v>24561114.139999997</v>
      </c>
      <c r="H140" s="888">
        <v>47792668.144000001</v>
      </c>
      <c r="I140" s="888">
        <v>50178806.794</v>
      </c>
      <c r="J140" s="888">
        <v>125093696.80999999</v>
      </c>
      <c r="K140" s="888">
        <v>100901817.90099999</v>
      </c>
      <c r="L140" s="888">
        <v>193607872.49000001</v>
      </c>
      <c r="M140" s="889">
        <f>SUM(B140:L140)</f>
        <v>616714832.38100004</v>
      </c>
    </row>
    <row r="141" spans="1:14" ht="17.100000000000001" customHeight="1">
      <c r="A141" s="887" t="s">
        <v>576</v>
      </c>
      <c r="B141" s="888">
        <v>2697716.6239999998</v>
      </c>
      <c r="C141" s="888">
        <v>8657301.9450000003</v>
      </c>
      <c r="D141" s="888">
        <v>15307104.404000001</v>
      </c>
      <c r="E141" s="888">
        <v>18915075.322999999</v>
      </c>
      <c r="F141" s="888">
        <v>21254147.565000001</v>
      </c>
      <c r="G141" s="888">
        <v>23161416.696999997</v>
      </c>
      <c r="H141" s="888">
        <v>44453060.553999998</v>
      </c>
      <c r="I141" s="888">
        <v>43897453.097999997</v>
      </c>
      <c r="J141" s="888">
        <v>96986980.686999992</v>
      </c>
      <c r="K141" s="888">
        <v>68758871.241999999</v>
      </c>
      <c r="L141" s="888">
        <v>102841487.22400001</v>
      </c>
      <c r="M141" s="889">
        <f>SUM(B141:L141)</f>
        <v>446930615.36299992</v>
      </c>
    </row>
    <row r="142" spans="1:14" ht="17.100000000000001" customHeight="1">
      <c r="A142" s="887" t="s">
        <v>580</v>
      </c>
      <c r="B142" s="888">
        <v>5715611.693</v>
      </c>
      <c r="C142" s="888">
        <v>14198283.638000002</v>
      </c>
      <c r="D142" s="888">
        <v>19932745.289999999</v>
      </c>
      <c r="E142" s="888">
        <v>25031254.979000002</v>
      </c>
      <c r="F142" s="888">
        <v>29206687.967999998</v>
      </c>
      <c r="G142" s="888">
        <v>32153605.797999997</v>
      </c>
      <c r="H142" s="888">
        <v>74347982.518000007</v>
      </c>
      <c r="I142" s="888">
        <v>80629753.238000005</v>
      </c>
      <c r="J142" s="888">
        <v>214311415.25400001</v>
      </c>
      <c r="K142" s="888">
        <v>235355741.67399999</v>
      </c>
      <c r="L142" s="888">
        <v>1055445295.605</v>
      </c>
      <c r="M142" s="889">
        <f>SUM(B142:L142)</f>
        <v>1786328377.655</v>
      </c>
    </row>
    <row r="143" spans="1:14" ht="17.100000000000001" customHeight="1">
      <c r="A143" s="881"/>
      <c r="B143" s="888"/>
      <c r="C143" s="888"/>
      <c r="D143" s="888"/>
      <c r="E143" s="888"/>
      <c r="F143" s="888"/>
      <c r="G143" s="888"/>
      <c r="H143" s="888"/>
      <c r="I143" s="888"/>
      <c r="J143" s="888"/>
      <c r="K143" s="888"/>
      <c r="L143" s="888"/>
      <c r="M143" s="895"/>
    </row>
    <row r="144" spans="1:14" s="898" customFormat="1" ht="17.100000000000001" customHeight="1">
      <c r="A144" s="896" t="s">
        <v>34</v>
      </c>
      <c r="B144" s="897">
        <f>SUM(B138:B143)+B133+B90+B47</f>
        <v>416737109.57165003</v>
      </c>
      <c r="C144" s="897">
        <f t="shared" ref="C144:M144" si="3">SUM(C138:C143)+C133+C90+C47</f>
        <v>1259827348.4177001</v>
      </c>
      <c r="D144" s="897">
        <f t="shared" si="3"/>
        <v>2001877468.2017999</v>
      </c>
      <c r="E144" s="897">
        <f t="shared" si="3"/>
        <v>2660404935.7758999</v>
      </c>
      <c r="F144" s="897">
        <f t="shared" si="3"/>
        <v>3195048219.8459001</v>
      </c>
      <c r="G144" s="897">
        <f t="shared" si="3"/>
        <v>3554034147.5265999</v>
      </c>
      <c r="H144" s="897">
        <f t="shared" si="3"/>
        <v>7850985759.0897999</v>
      </c>
      <c r="I144" s="897">
        <f t="shared" si="3"/>
        <v>8147187182.3539991</v>
      </c>
      <c r="J144" s="897">
        <f t="shared" si="3"/>
        <v>20469162242.813499</v>
      </c>
      <c r="K144" s="897">
        <f t="shared" si="3"/>
        <v>19574472561.171997</v>
      </c>
      <c r="L144" s="897">
        <f t="shared" si="3"/>
        <v>102203429550.7702</v>
      </c>
      <c r="M144" s="897">
        <f t="shared" si="3"/>
        <v>171333166525.53906</v>
      </c>
    </row>
    <row r="145" spans="1:13" s="414" customFormat="1" ht="17.100000000000001" customHeight="1">
      <c r="A145" s="899"/>
      <c r="B145" s="900"/>
      <c r="C145" s="900"/>
      <c r="D145" s="900"/>
      <c r="E145" s="900"/>
      <c r="F145" s="900"/>
      <c r="G145" s="900"/>
      <c r="H145" s="900"/>
      <c r="I145" s="900"/>
      <c r="J145" s="900"/>
      <c r="K145" s="900"/>
      <c r="L145" s="900"/>
      <c r="M145" s="901"/>
    </row>
    <row r="146" spans="1:13" s="414" customFormat="1" ht="17.100000000000001" customHeight="1" thickBot="1">
      <c r="A146" s="422"/>
      <c r="B146" s="422"/>
      <c r="C146" s="422"/>
      <c r="D146" s="422"/>
      <c r="E146" s="422"/>
      <c r="F146" s="422"/>
      <c r="G146" s="422"/>
      <c r="H146" s="422"/>
      <c r="I146" s="422"/>
      <c r="J146" s="422"/>
      <c r="K146" s="422"/>
      <c r="L146" s="422"/>
      <c r="M146" s="422"/>
    </row>
    <row r="147" spans="1:13" ht="17.100000000000001" customHeight="1">
      <c r="A147" s="881"/>
      <c r="B147" s="881"/>
      <c r="C147" s="881"/>
      <c r="D147" s="881"/>
      <c r="E147" s="881"/>
      <c r="F147" s="881"/>
      <c r="G147" s="881"/>
      <c r="H147" s="881"/>
      <c r="I147" s="881"/>
      <c r="J147" s="881"/>
      <c r="K147" s="881"/>
      <c r="L147" s="881"/>
      <c r="M147" s="876" t="s">
        <v>25</v>
      </c>
    </row>
    <row r="148" spans="1:13" ht="17.100000000000001" customHeight="1">
      <c r="A148" s="878"/>
      <c r="B148" s="879"/>
      <c r="C148" s="879" t="s">
        <v>806</v>
      </c>
      <c r="D148" s="879" t="s">
        <v>807</v>
      </c>
      <c r="E148" s="879" t="s">
        <v>808</v>
      </c>
      <c r="F148" s="879" t="s">
        <v>809</v>
      </c>
      <c r="G148" s="879" t="s">
        <v>810</v>
      </c>
      <c r="H148" s="879" t="s">
        <v>811</v>
      </c>
      <c r="I148" s="879" t="s">
        <v>812</v>
      </c>
      <c r="J148" s="879" t="s">
        <v>813</v>
      </c>
      <c r="K148" s="879" t="s">
        <v>814</v>
      </c>
      <c r="L148" s="879" t="s">
        <v>815</v>
      </c>
      <c r="M148" s="879" t="s">
        <v>476</v>
      </c>
    </row>
    <row r="149" spans="1:13" ht="17.100000000000001" customHeight="1">
      <c r="A149" s="880" t="s">
        <v>35</v>
      </c>
      <c r="B149" s="879" t="s">
        <v>816</v>
      </c>
      <c r="C149" s="879" t="s">
        <v>817</v>
      </c>
      <c r="D149" s="879" t="s">
        <v>818</v>
      </c>
      <c r="E149" s="879" t="s">
        <v>819</v>
      </c>
      <c r="F149" s="879" t="s">
        <v>820</v>
      </c>
      <c r="G149" s="879" t="s">
        <v>821</v>
      </c>
      <c r="H149" s="879" t="s">
        <v>822</v>
      </c>
      <c r="I149" s="879" t="s">
        <v>823</v>
      </c>
      <c r="J149" s="879" t="s">
        <v>824</v>
      </c>
      <c r="K149" s="879" t="s">
        <v>825</v>
      </c>
      <c r="L149" s="879" t="s">
        <v>826</v>
      </c>
      <c r="M149" s="879" t="s">
        <v>32</v>
      </c>
    </row>
    <row r="150" spans="1:13" ht="17.100000000000001" customHeight="1">
      <c r="A150" s="881"/>
      <c r="B150" s="893"/>
      <c r="C150" s="893"/>
      <c r="D150" s="893"/>
      <c r="E150" s="893"/>
      <c r="F150" s="893"/>
      <c r="G150" s="893"/>
      <c r="H150" s="893"/>
      <c r="I150" s="893"/>
      <c r="J150" s="893"/>
      <c r="K150" s="893"/>
      <c r="L150" s="893"/>
      <c r="M150" s="883"/>
    </row>
    <row r="151" spans="1:13" s="877" customFormat="1" ht="17.100000000000001" customHeight="1">
      <c r="A151" s="887" t="s">
        <v>597</v>
      </c>
      <c r="B151" s="885">
        <v>10087721.8906</v>
      </c>
      <c r="C151" s="885">
        <v>34885609.293799996</v>
      </c>
      <c r="D151" s="885">
        <v>52844175.311999992</v>
      </c>
      <c r="E151" s="885">
        <v>75252911.758000001</v>
      </c>
      <c r="F151" s="885">
        <v>86905327.532999992</v>
      </c>
      <c r="G151" s="885">
        <v>101616079.84</v>
      </c>
      <c r="H151" s="885">
        <v>245225726.539</v>
      </c>
      <c r="I151" s="885">
        <v>289274634.09370005</v>
      </c>
      <c r="J151" s="885">
        <v>748627021.94499993</v>
      </c>
      <c r="K151" s="885">
        <v>727979239.21899998</v>
      </c>
      <c r="L151" s="885">
        <v>4700536101.1940002</v>
      </c>
      <c r="M151" s="884">
        <f>SUM(B151:L151)</f>
        <v>7073234548.6181002</v>
      </c>
    </row>
    <row r="152" spans="1:13" s="877" customFormat="1" ht="17.100000000000001" customHeight="1">
      <c r="A152" s="887" t="s">
        <v>558</v>
      </c>
      <c r="B152" s="888">
        <v>598081.09450000001</v>
      </c>
      <c r="C152" s="888">
        <v>1990040.2860000001</v>
      </c>
      <c r="D152" s="888">
        <v>3298886.8800000004</v>
      </c>
      <c r="E152" s="888">
        <v>4550560.5180000002</v>
      </c>
      <c r="F152" s="888">
        <v>5091853.7469999995</v>
      </c>
      <c r="G152" s="888">
        <v>5644429.0079999994</v>
      </c>
      <c r="H152" s="888">
        <v>9721950.8049999997</v>
      </c>
      <c r="I152" s="888">
        <v>9476189</v>
      </c>
      <c r="J152" s="888">
        <v>21942278.528000001</v>
      </c>
      <c r="K152" s="888">
        <v>12752418.562000001</v>
      </c>
      <c r="L152" s="888">
        <v>25501750.638</v>
      </c>
      <c r="M152" s="889">
        <f>SUM(B152:L152)</f>
        <v>100568439.06650001</v>
      </c>
    </row>
    <row r="153" spans="1:13" s="877" customFormat="1" ht="17.100000000000001" customHeight="1">
      <c r="A153" s="887" t="s">
        <v>602</v>
      </c>
      <c r="B153" s="888">
        <v>3367477.0754999998</v>
      </c>
      <c r="C153" s="888">
        <v>9416367.4367999993</v>
      </c>
      <c r="D153" s="888">
        <v>16031230.609700002</v>
      </c>
      <c r="E153" s="888">
        <v>19856457.289000001</v>
      </c>
      <c r="F153" s="888">
        <v>25976164.213</v>
      </c>
      <c r="G153" s="888">
        <v>25824043.256999999</v>
      </c>
      <c r="H153" s="888">
        <v>47151200.963500001</v>
      </c>
      <c r="I153" s="888">
        <v>35257888.894000001</v>
      </c>
      <c r="J153" s="888">
        <v>68676127.895999998</v>
      </c>
      <c r="K153" s="888">
        <v>40066420.011999995</v>
      </c>
      <c r="L153" s="888">
        <v>99272892.835999995</v>
      </c>
      <c r="M153" s="889">
        <f>SUM(B153:L153)</f>
        <v>390896270.48249996</v>
      </c>
    </row>
    <row r="154" spans="1:13" s="877" customFormat="1" ht="17.100000000000001" customHeight="1">
      <c r="A154" s="887" t="s">
        <v>605</v>
      </c>
      <c r="B154" s="888">
        <v>593052.61199999996</v>
      </c>
      <c r="C154" s="888">
        <v>2102826.2290000003</v>
      </c>
      <c r="D154" s="888">
        <v>3459098.51</v>
      </c>
      <c r="E154" s="888">
        <v>4830120.3149999995</v>
      </c>
      <c r="F154" s="888">
        <v>5306925</v>
      </c>
      <c r="G154" s="888">
        <v>5863908.5360000003</v>
      </c>
      <c r="H154" s="888">
        <v>11873888</v>
      </c>
      <c r="I154" s="888">
        <v>10987720.390999999</v>
      </c>
      <c r="J154" s="888">
        <v>19540758</v>
      </c>
      <c r="K154" s="888">
        <v>12468790.244000001</v>
      </c>
      <c r="L154" s="888">
        <v>10807788</v>
      </c>
      <c r="M154" s="889">
        <f>SUM(B154:L154)</f>
        <v>87834875.836999997</v>
      </c>
    </row>
    <row r="155" spans="1:13" s="877" customFormat="1" ht="17.100000000000001" customHeight="1">
      <c r="A155" s="887" t="s">
        <v>608</v>
      </c>
      <c r="B155" s="888">
        <v>4879115.3487999998</v>
      </c>
      <c r="C155" s="888">
        <v>12891906.863</v>
      </c>
      <c r="D155" s="888">
        <v>19950814.818000004</v>
      </c>
      <c r="E155" s="888">
        <v>28179665.237</v>
      </c>
      <c r="F155" s="888">
        <v>33825249.859999999</v>
      </c>
      <c r="G155" s="888">
        <v>35892343.792999998</v>
      </c>
      <c r="H155" s="888">
        <v>67917692.103799999</v>
      </c>
      <c r="I155" s="888">
        <v>68671146.596000001</v>
      </c>
      <c r="J155" s="888">
        <v>126914932.03300001</v>
      </c>
      <c r="K155" s="888">
        <v>96013896.179999992</v>
      </c>
      <c r="L155" s="967">
        <v>1008109811.697</v>
      </c>
      <c r="M155" s="890">
        <f>SUM(B155:L155)</f>
        <v>1503246574.5296001</v>
      </c>
    </row>
    <row r="156" spans="1:13" s="877" customFormat="1" ht="17.100000000000001" customHeight="1">
      <c r="A156" s="887"/>
      <c r="B156" s="888"/>
      <c r="C156" s="888"/>
      <c r="D156" s="888"/>
      <c r="E156" s="888"/>
      <c r="F156" s="888"/>
      <c r="G156" s="888"/>
      <c r="H156" s="888"/>
      <c r="I156" s="888"/>
      <c r="J156" s="888"/>
      <c r="K156" s="888"/>
      <c r="L156" s="888"/>
      <c r="M156" s="889"/>
    </row>
    <row r="157" spans="1:13" s="877" customFormat="1" ht="17.100000000000001" customHeight="1">
      <c r="A157" s="887" t="s">
        <v>611</v>
      </c>
      <c r="B157" s="888">
        <v>17523712.603700001</v>
      </c>
      <c r="C157" s="888">
        <v>56935267.787</v>
      </c>
      <c r="D157" s="888">
        <v>88840694.046999991</v>
      </c>
      <c r="E157" s="888">
        <v>114351418.6022</v>
      </c>
      <c r="F157" s="888">
        <v>135111594.5</v>
      </c>
      <c r="G157" s="888">
        <v>148038158.89699998</v>
      </c>
      <c r="H157" s="888">
        <v>325798154.80800003</v>
      </c>
      <c r="I157" s="888">
        <v>335489485.20199996</v>
      </c>
      <c r="J157" s="888">
        <v>809742500.68043995</v>
      </c>
      <c r="K157" s="888">
        <v>756909462.75119996</v>
      </c>
      <c r="L157" s="888">
        <v>2297650586.802</v>
      </c>
      <c r="M157" s="889">
        <f>SUM(B157:L157)</f>
        <v>5086391036.6805401</v>
      </c>
    </row>
    <row r="158" spans="1:13" s="877" customFormat="1" ht="17.100000000000001" customHeight="1">
      <c r="A158" s="887" t="s">
        <v>614</v>
      </c>
      <c r="B158" s="888">
        <v>1424775.2859999998</v>
      </c>
      <c r="C158" s="888">
        <v>4720173.1970000006</v>
      </c>
      <c r="D158" s="888">
        <v>8776029.8169999998</v>
      </c>
      <c r="E158" s="888">
        <v>11389145.780000001</v>
      </c>
      <c r="F158" s="888">
        <v>13666454.076000001</v>
      </c>
      <c r="G158" s="888">
        <v>14792924.648</v>
      </c>
      <c r="H158" s="888">
        <v>34023127.234999999</v>
      </c>
      <c r="I158" s="888">
        <v>33019947.584000003</v>
      </c>
      <c r="J158" s="888">
        <v>70982261.099999994</v>
      </c>
      <c r="K158" s="888">
        <v>55123589.188999996</v>
      </c>
      <c r="L158" s="888">
        <v>110676728.274</v>
      </c>
      <c r="M158" s="889">
        <f>SUM(B158:L158)</f>
        <v>358595156.18599999</v>
      </c>
    </row>
    <row r="159" spans="1:13" s="877" customFormat="1" ht="17.100000000000001" customHeight="1">
      <c r="A159" s="887" t="s">
        <v>617</v>
      </c>
      <c r="B159" s="888">
        <v>700310.44900000002</v>
      </c>
      <c r="C159" s="888">
        <v>2078588.513</v>
      </c>
      <c r="D159" s="888">
        <v>3735679.5080000004</v>
      </c>
      <c r="E159" s="888">
        <v>4989738.4730000002</v>
      </c>
      <c r="F159" s="888">
        <v>6039029.5839999998</v>
      </c>
      <c r="G159" s="888">
        <v>5402625.8669999996</v>
      </c>
      <c r="H159" s="888">
        <v>10448251.74</v>
      </c>
      <c r="I159" s="888">
        <v>9236166.8399999999</v>
      </c>
      <c r="J159" s="888">
        <v>21280664.677999999</v>
      </c>
      <c r="K159" s="888">
        <v>13651334</v>
      </c>
      <c r="L159" s="888">
        <v>12031808</v>
      </c>
      <c r="M159" s="889">
        <f>SUM(B159:L159)</f>
        <v>89594197.651999995</v>
      </c>
    </row>
    <row r="160" spans="1:13" s="877" customFormat="1" ht="17.100000000000001" customHeight="1">
      <c r="A160" s="887" t="s">
        <v>620</v>
      </c>
      <c r="B160" s="888">
        <v>4670196.5542000001</v>
      </c>
      <c r="C160" s="888">
        <v>17066252.355</v>
      </c>
      <c r="D160" s="888">
        <v>31075863.230000004</v>
      </c>
      <c r="E160" s="888">
        <v>37988909.693999991</v>
      </c>
      <c r="F160" s="888">
        <v>38229818.141999997</v>
      </c>
      <c r="G160" s="888">
        <v>37508905.946000002</v>
      </c>
      <c r="H160" s="888">
        <v>69952307.050999999</v>
      </c>
      <c r="I160" s="888">
        <v>54433239.6505</v>
      </c>
      <c r="J160" s="888">
        <v>124816297.17199999</v>
      </c>
      <c r="K160" s="888">
        <v>79737825.27700001</v>
      </c>
      <c r="L160" s="888">
        <v>191285204.206</v>
      </c>
      <c r="M160" s="889">
        <f>SUM(B160:L160)</f>
        <v>686764819.27769995</v>
      </c>
    </row>
    <row r="161" spans="1:13" s="877" customFormat="1" ht="17.100000000000001" customHeight="1">
      <c r="A161" s="887" t="s">
        <v>623</v>
      </c>
      <c r="B161" s="888">
        <v>690067.31059999997</v>
      </c>
      <c r="C161" s="888">
        <v>2286103.0120000001</v>
      </c>
      <c r="D161" s="889">
        <v>4366157.3739999998</v>
      </c>
      <c r="E161" s="889">
        <v>4673876.0840000007</v>
      </c>
      <c r="F161" s="888">
        <v>5260266.4560000002</v>
      </c>
      <c r="G161" s="888">
        <v>6644878.8099999996</v>
      </c>
      <c r="H161" s="888">
        <v>11368271.411</v>
      </c>
      <c r="I161" s="888">
        <v>8122894.9749999996</v>
      </c>
      <c r="J161" s="888">
        <v>12251421.951000001</v>
      </c>
      <c r="K161" s="888">
        <v>7080267.0140000004</v>
      </c>
      <c r="L161" s="888">
        <v>18673270.623999998</v>
      </c>
      <c r="M161" s="889">
        <f>SUM(B161:L161)</f>
        <v>81417475.021599993</v>
      </c>
    </row>
    <row r="162" spans="1:13" s="877" customFormat="1" ht="17.100000000000001" customHeight="1">
      <c r="A162" s="887"/>
      <c r="B162" s="888"/>
      <c r="C162" s="888"/>
      <c r="D162" s="889"/>
      <c r="E162" s="889"/>
      <c r="F162" s="888"/>
      <c r="G162" s="888"/>
      <c r="H162" s="888"/>
      <c r="I162" s="888"/>
      <c r="J162" s="888"/>
      <c r="K162" s="888"/>
      <c r="L162" s="888"/>
      <c r="M162" s="889"/>
    </row>
    <row r="163" spans="1:13" s="877" customFormat="1" ht="17.100000000000001" customHeight="1">
      <c r="A163" s="887" t="s">
        <v>618</v>
      </c>
      <c r="B163" s="888">
        <v>2770053.9419</v>
      </c>
      <c r="C163" s="888">
        <v>7802143.1689999998</v>
      </c>
      <c r="D163" s="888">
        <v>11173992.002</v>
      </c>
      <c r="E163" s="888">
        <v>13881331.185000001</v>
      </c>
      <c r="F163" s="888">
        <v>16544771.342</v>
      </c>
      <c r="G163" s="888">
        <v>19848105.587000001</v>
      </c>
      <c r="H163" s="888">
        <v>39245855.233999997</v>
      </c>
      <c r="I163" s="888">
        <v>46074456.193000004</v>
      </c>
      <c r="J163" s="888">
        <v>119104711.21799999</v>
      </c>
      <c r="K163" s="888">
        <v>108743618.102</v>
      </c>
      <c r="L163" s="888">
        <v>659709033.71000004</v>
      </c>
      <c r="M163" s="889">
        <f>SUM(B163:L163)</f>
        <v>1044898071.6839</v>
      </c>
    </row>
    <row r="164" spans="1:13" s="877" customFormat="1" ht="17.100000000000001" customHeight="1">
      <c r="A164" s="887" t="s">
        <v>628</v>
      </c>
      <c r="B164" s="888">
        <v>1320545.1728000001</v>
      </c>
      <c r="C164" s="888">
        <v>3074277.6985999998</v>
      </c>
      <c r="D164" s="888">
        <v>4082770.6359999999</v>
      </c>
      <c r="E164" s="888">
        <v>5332032.455000001</v>
      </c>
      <c r="F164" s="888">
        <v>6392666.9270000001</v>
      </c>
      <c r="G164" s="888">
        <v>7254232.6270000003</v>
      </c>
      <c r="H164" s="888">
        <v>17642697.096000001</v>
      </c>
      <c r="I164" s="888">
        <v>17569531.895</v>
      </c>
      <c r="J164" s="888">
        <v>53705699.967</v>
      </c>
      <c r="K164" s="888">
        <v>53950539.717000008</v>
      </c>
      <c r="L164" s="888">
        <v>577161411.10599995</v>
      </c>
      <c r="M164" s="889">
        <f>SUM(B164:L164)</f>
        <v>747486405.2974</v>
      </c>
    </row>
    <row r="165" spans="1:13" s="877" customFormat="1" ht="17.100000000000001" customHeight="1">
      <c r="A165" s="887" t="s">
        <v>36</v>
      </c>
      <c r="B165" s="889">
        <v>790231.38800000004</v>
      </c>
      <c r="C165" s="889">
        <v>2903512.551</v>
      </c>
      <c r="D165" s="889">
        <v>4886504.0290000001</v>
      </c>
      <c r="E165" s="889">
        <v>6702367.6610000003</v>
      </c>
      <c r="F165" s="889">
        <v>7649650.6639999999</v>
      </c>
      <c r="G165" s="889">
        <v>7103930.6909999996</v>
      </c>
      <c r="H165" s="889">
        <v>13341211.728</v>
      </c>
      <c r="I165" s="889">
        <v>11032114.058</v>
      </c>
      <c r="J165" s="889">
        <v>21190416.566</v>
      </c>
      <c r="K165" s="889">
        <v>17194359.379999999</v>
      </c>
      <c r="L165" s="889">
        <v>47522211.044999994</v>
      </c>
      <c r="M165" s="889">
        <f>SUM(B165:L165)</f>
        <v>140316509.76099998</v>
      </c>
    </row>
    <row r="166" spans="1:13" s="877" customFormat="1" ht="17.100000000000001" customHeight="1">
      <c r="A166" s="887" t="s">
        <v>633</v>
      </c>
      <c r="B166" s="889">
        <v>2467985.6107000001</v>
      </c>
      <c r="C166" s="889">
        <v>8086099.9020000007</v>
      </c>
      <c r="D166" s="889">
        <v>12751135.673999999</v>
      </c>
      <c r="E166" s="889">
        <v>16931870.239</v>
      </c>
      <c r="F166" s="889">
        <v>19344655.656999998</v>
      </c>
      <c r="G166" s="889">
        <v>19095065.223999999</v>
      </c>
      <c r="H166" s="889">
        <v>42150199.626000002</v>
      </c>
      <c r="I166" s="889">
        <v>36029239.549999997</v>
      </c>
      <c r="J166" s="889">
        <v>79635289.650000006</v>
      </c>
      <c r="K166" s="889">
        <v>69303909.783000007</v>
      </c>
      <c r="L166" s="889">
        <v>342783941.86300004</v>
      </c>
      <c r="M166" s="889">
        <f>SUM(B166:L166)</f>
        <v>648579392.77870011</v>
      </c>
    </row>
    <row r="167" spans="1:13" s="877" customFormat="1" ht="17.100000000000001" customHeight="1">
      <c r="A167" s="887" t="s">
        <v>636</v>
      </c>
      <c r="B167" s="889">
        <v>844465.12200000009</v>
      </c>
      <c r="C167" s="889">
        <v>2555415.628</v>
      </c>
      <c r="D167" s="889">
        <v>5001780.2170000002</v>
      </c>
      <c r="E167" s="889">
        <v>6563764.591</v>
      </c>
      <c r="F167" s="889">
        <v>7336170.1970000006</v>
      </c>
      <c r="G167" s="889">
        <v>6215667.6529999999</v>
      </c>
      <c r="H167" s="889">
        <v>11388698.714000002</v>
      </c>
      <c r="I167" s="889">
        <v>8901607.2640000004</v>
      </c>
      <c r="J167" s="889">
        <v>17112162.390999999</v>
      </c>
      <c r="K167" s="889">
        <v>12095971.764</v>
      </c>
      <c r="L167" s="889">
        <v>32231416.667999998</v>
      </c>
      <c r="M167" s="889">
        <f>SUM(B167:L167)</f>
        <v>110247120.20900001</v>
      </c>
    </row>
    <row r="168" spans="1:13" s="877" customFormat="1" ht="17.100000000000001" customHeight="1">
      <c r="A168" s="887"/>
      <c r="B168" s="889"/>
      <c r="C168" s="889"/>
      <c r="D168" s="889"/>
      <c r="E168" s="889"/>
      <c r="F168" s="889"/>
      <c r="G168" s="889"/>
      <c r="H168" s="889"/>
      <c r="I168" s="889"/>
      <c r="J168" s="889"/>
      <c r="K168" s="889"/>
      <c r="L168" s="889"/>
      <c r="M168" s="889"/>
    </row>
    <row r="169" spans="1:13" s="877" customFormat="1" ht="17.100000000000001" customHeight="1">
      <c r="A169" s="887" t="s">
        <v>638</v>
      </c>
      <c r="B169" s="889">
        <v>10181925.524999999</v>
      </c>
      <c r="C169" s="889">
        <v>37014061.910999998</v>
      </c>
      <c r="D169" s="889">
        <v>58782939.487999998</v>
      </c>
      <c r="E169" s="889">
        <v>77600265.379000008</v>
      </c>
      <c r="F169" s="889">
        <v>91298804.838</v>
      </c>
      <c r="G169" s="889">
        <v>101501064.81200001</v>
      </c>
      <c r="H169" s="889">
        <v>213385515.044</v>
      </c>
      <c r="I169" s="889">
        <v>211772997.06900001</v>
      </c>
      <c r="J169" s="889">
        <v>452069206.801</v>
      </c>
      <c r="K169" s="889">
        <v>370001405.41799998</v>
      </c>
      <c r="L169" s="889">
        <v>679660436.38600004</v>
      </c>
      <c r="M169" s="889">
        <f>SUM(B169:L169)</f>
        <v>2303268622.671</v>
      </c>
    </row>
    <row r="170" spans="1:13" s="877" customFormat="1" ht="17.100000000000001" customHeight="1">
      <c r="A170" s="887" t="s">
        <v>640</v>
      </c>
      <c r="B170" s="889">
        <v>3435786.7579000005</v>
      </c>
      <c r="C170" s="889">
        <v>11958227.328000002</v>
      </c>
      <c r="D170" s="889">
        <v>17360482.028999999</v>
      </c>
      <c r="E170" s="889">
        <v>24867797.598000001</v>
      </c>
      <c r="F170" s="889">
        <v>32584187.884</v>
      </c>
      <c r="G170" s="889">
        <v>32421565.629000001</v>
      </c>
      <c r="H170" s="889">
        <v>55318761.622999996</v>
      </c>
      <c r="I170" s="889">
        <v>54219344.509000003</v>
      </c>
      <c r="J170" s="889">
        <v>99277836.223000005</v>
      </c>
      <c r="K170" s="889">
        <v>66882425.895999998</v>
      </c>
      <c r="L170" s="889">
        <v>172170375.59799999</v>
      </c>
      <c r="M170" s="889">
        <f>SUM(B170:L170)</f>
        <v>570496791.07489991</v>
      </c>
    </row>
    <row r="171" spans="1:13" s="877" customFormat="1" ht="17.100000000000001" customHeight="1">
      <c r="A171" s="889" t="s">
        <v>643</v>
      </c>
      <c r="B171" s="889">
        <v>1819433.5489999999</v>
      </c>
      <c r="C171" s="889">
        <v>7024455.3260000013</v>
      </c>
      <c r="D171" s="889">
        <v>12530305.258000001</v>
      </c>
      <c r="E171" s="889">
        <v>15933287.677000001</v>
      </c>
      <c r="F171" s="889">
        <v>19702196.328000002</v>
      </c>
      <c r="G171" s="889">
        <v>20287856.666000001</v>
      </c>
      <c r="H171" s="889">
        <v>42283806.039000005</v>
      </c>
      <c r="I171" s="889">
        <v>34909963.137999997</v>
      </c>
      <c r="J171" s="889">
        <v>69226164.357000008</v>
      </c>
      <c r="K171" s="889">
        <v>45922116.669</v>
      </c>
      <c r="L171" s="889">
        <v>58155578.656999998</v>
      </c>
      <c r="M171" s="889">
        <f>SUM(B171:L171)</f>
        <v>327795163.66399997</v>
      </c>
    </row>
    <row r="172" spans="1:13" s="877" customFormat="1" ht="17.100000000000001" customHeight="1">
      <c r="A172" s="881" t="s">
        <v>646</v>
      </c>
      <c r="B172" s="895">
        <v>546724.34100000001</v>
      </c>
      <c r="C172" s="895">
        <v>1475084.8160000001</v>
      </c>
      <c r="D172" s="895">
        <v>2254699.8650000002</v>
      </c>
      <c r="E172" s="895">
        <v>3168600.909</v>
      </c>
      <c r="F172" s="895">
        <v>3881744.1170000001</v>
      </c>
      <c r="G172" s="895">
        <v>3819268.59</v>
      </c>
      <c r="H172" s="895">
        <v>8140742.6869999999</v>
      </c>
      <c r="I172" s="895">
        <v>6776947.3169999998</v>
      </c>
      <c r="J172" s="895">
        <v>18078389.634</v>
      </c>
      <c r="K172" s="895">
        <v>14645464.515000001</v>
      </c>
      <c r="L172" s="961">
        <v>62125695.57</v>
      </c>
      <c r="M172" s="890">
        <f>SUM(B172:L172)</f>
        <v>124913362.361</v>
      </c>
    </row>
    <row r="173" spans="1:13" s="877" customFormat="1" ht="17.100000000000001" customHeight="1">
      <c r="A173" s="881" t="s">
        <v>649</v>
      </c>
      <c r="B173" s="895">
        <v>6849283.9360000007</v>
      </c>
      <c r="C173" s="895">
        <v>23644154.315499999</v>
      </c>
      <c r="D173" s="895">
        <v>38383031.991999999</v>
      </c>
      <c r="E173" s="895">
        <v>46051190.869999997</v>
      </c>
      <c r="F173" s="895">
        <v>53187043.862000003</v>
      </c>
      <c r="G173" s="895">
        <v>53634792.721000001</v>
      </c>
      <c r="H173" s="895">
        <v>106207370.47</v>
      </c>
      <c r="I173" s="895">
        <v>92336701.541999996</v>
      </c>
      <c r="J173" s="895">
        <v>208593489.85500002</v>
      </c>
      <c r="K173" s="895">
        <v>144788941.30000001</v>
      </c>
      <c r="L173" s="895">
        <v>495303335.06200004</v>
      </c>
      <c r="M173" s="889">
        <f>SUM(B173:L173)</f>
        <v>1268979335.9254999</v>
      </c>
    </row>
    <row r="174" spans="1:13" s="424" customFormat="1" ht="18">
      <c r="A174" s="407" t="s">
        <v>827</v>
      </c>
      <c r="B174" s="423"/>
      <c r="C174" s="423"/>
      <c r="D174" s="423"/>
      <c r="E174" s="423"/>
      <c r="F174" s="423"/>
      <c r="G174" s="423"/>
      <c r="H174" s="423"/>
      <c r="I174" s="423"/>
      <c r="J174" s="423"/>
      <c r="K174" s="423"/>
      <c r="L174" s="423"/>
      <c r="M174" s="423"/>
    </row>
    <row r="175" spans="1:13" ht="17.100000000000001" customHeight="1">
      <c r="A175" s="400" t="s">
        <v>804</v>
      </c>
      <c r="B175" s="425"/>
      <c r="C175" s="425"/>
      <c r="D175" s="425"/>
      <c r="E175" s="425"/>
      <c r="F175" s="425"/>
      <c r="G175" s="425"/>
      <c r="H175" s="425"/>
      <c r="I175" s="425"/>
      <c r="J175" s="425"/>
      <c r="K175" s="425"/>
      <c r="L175" s="425"/>
      <c r="M175" s="425"/>
    </row>
    <row r="176" spans="1:13" ht="17.100000000000001" customHeight="1">
      <c r="A176" s="401" t="str">
        <f>A132</f>
        <v>Taxable Year 2010</v>
      </c>
      <c r="B176" s="426"/>
      <c r="C176" s="426"/>
      <c r="D176" s="426"/>
      <c r="E176" s="426"/>
      <c r="F176" s="426"/>
      <c r="G176" s="426"/>
      <c r="H176" s="426"/>
      <c r="I176" s="426"/>
      <c r="J176" s="426"/>
      <c r="K176" s="426"/>
      <c r="L176" s="426"/>
      <c r="M176" s="426"/>
    </row>
    <row r="177" spans="1:13" ht="17.100000000000001" customHeight="1" thickBot="1">
      <c r="B177" s="410">
        <f>SUM(B151:B173)</f>
        <v>75560945.569199994</v>
      </c>
      <c r="C177" s="410">
        <f t="shared" ref="C177:M177" si="4">SUM(C151:C173)</f>
        <v>249910567.61770001</v>
      </c>
      <c r="D177" s="410">
        <f t="shared" si="4"/>
        <v>399586271.29570001</v>
      </c>
      <c r="E177" s="410">
        <f t="shared" si="4"/>
        <v>523095312.31419998</v>
      </c>
      <c r="F177" s="410">
        <f t="shared" si="4"/>
        <v>613334574.92699993</v>
      </c>
      <c r="G177" s="410">
        <f t="shared" si="4"/>
        <v>658409848.80199981</v>
      </c>
      <c r="H177" s="410">
        <f t="shared" si="4"/>
        <v>1382585428.9173</v>
      </c>
      <c r="I177" s="410">
        <f t="shared" si="4"/>
        <v>1373592215.7612</v>
      </c>
      <c r="J177" s="410">
        <f t="shared" si="4"/>
        <v>3162767630.6454391</v>
      </c>
      <c r="K177" s="410">
        <f t="shared" si="4"/>
        <v>2705311994.9921999</v>
      </c>
      <c r="L177" s="410">
        <f t="shared" si="4"/>
        <v>11601369377.935997</v>
      </c>
      <c r="M177" s="410">
        <f t="shared" si="4"/>
        <v>22745524168.77795</v>
      </c>
    </row>
    <row r="178" spans="1:13" ht="17.100000000000001" customHeight="1">
      <c r="A178" s="874"/>
      <c r="B178" s="892"/>
      <c r="C178" s="876"/>
      <c r="D178" s="876"/>
      <c r="E178" s="876"/>
      <c r="F178" s="876"/>
      <c r="G178" s="876"/>
      <c r="H178" s="876"/>
      <c r="I178" s="876"/>
      <c r="J178" s="876"/>
      <c r="K178" s="876"/>
      <c r="L178" s="876"/>
      <c r="M178" s="876" t="s">
        <v>25</v>
      </c>
    </row>
    <row r="179" spans="1:13" ht="17.100000000000001" customHeight="1">
      <c r="A179" s="878"/>
      <c r="B179" s="879"/>
      <c r="C179" s="879" t="s">
        <v>806</v>
      </c>
      <c r="D179" s="879" t="s">
        <v>807</v>
      </c>
      <c r="E179" s="879" t="s">
        <v>808</v>
      </c>
      <c r="F179" s="879" t="s">
        <v>809</v>
      </c>
      <c r="G179" s="879" t="s">
        <v>810</v>
      </c>
      <c r="H179" s="879" t="s">
        <v>811</v>
      </c>
      <c r="I179" s="879" t="s">
        <v>812</v>
      </c>
      <c r="J179" s="879" t="s">
        <v>813</v>
      </c>
      <c r="K179" s="879" t="s">
        <v>814</v>
      </c>
      <c r="L179" s="879" t="s">
        <v>815</v>
      </c>
      <c r="M179" s="879" t="s">
        <v>476</v>
      </c>
    </row>
    <row r="180" spans="1:13" ht="17.100000000000001" customHeight="1">
      <c r="A180" s="880" t="s">
        <v>35</v>
      </c>
      <c r="B180" s="879" t="s">
        <v>816</v>
      </c>
      <c r="C180" s="879" t="s">
        <v>817</v>
      </c>
      <c r="D180" s="879" t="s">
        <v>818</v>
      </c>
      <c r="E180" s="879" t="s">
        <v>819</v>
      </c>
      <c r="F180" s="879" t="s">
        <v>820</v>
      </c>
      <c r="G180" s="879" t="s">
        <v>821</v>
      </c>
      <c r="H180" s="879" t="s">
        <v>822</v>
      </c>
      <c r="I180" s="879" t="s">
        <v>823</v>
      </c>
      <c r="J180" s="879" t="s">
        <v>824</v>
      </c>
      <c r="K180" s="879" t="s">
        <v>825</v>
      </c>
      <c r="L180" s="879" t="s">
        <v>826</v>
      </c>
      <c r="M180" s="879" t="s">
        <v>32</v>
      </c>
    </row>
    <row r="181" spans="1:13" ht="17.100000000000001" customHeight="1">
      <c r="A181" s="881"/>
      <c r="B181" s="893"/>
      <c r="C181" s="893"/>
      <c r="D181" s="893"/>
      <c r="E181" s="893"/>
      <c r="F181" s="893"/>
      <c r="G181" s="893"/>
      <c r="H181" s="893"/>
      <c r="I181" s="893"/>
      <c r="J181" s="893"/>
      <c r="K181" s="893"/>
      <c r="L181" s="893"/>
      <c r="M181" s="883"/>
    </row>
    <row r="182" spans="1:13" s="877" customFormat="1" ht="17.100000000000001" customHeight="1">
      <c r="A182" s="887" t="s">
        <v>525</v>
      </c>
      <c r="B182" s="884">
        <v>2793252.9595999997</v>
      </c>
      <c r="C182" s="884">
        <v>9544459.2430000007</v>
      </c>
      <c r="D182" s="884">
        <v>16134371.609000001</v>
      </c>
      <c r="E182" s="884">
        <v>21771590.962000001</v>
      </c>
      <c r="F182" s="884">
        <v>25450691.6362</v>
      </c>
      <c r="G182" s="884">
        <v>27901858.949999999</v>
      </c>
      <c r="H182" s="884">
        <v>64218267.273999996</v>
      </c>
      <c r="I182" s="884">
        <v>70966035.046999991</v>
      </c>
      <c r="J182" s="884">
        <v>148386578.72400001</v>
      </c>
      <c r="K182" s="884">
        <v>121473844.101</v>
      </c>
      <c r="L182" s="884">
        <v>456957622.45000005</v>
      </c>
      <c r="M182" s="884">
        <f>SUM(B182:L182)</f>
        <v>965598572.95580006</v>
      </c>
    </row>
    <row r="183" spans="1:13" s="877" customFormat="1" ht="17.100000000000001" customHeight="1">
      <c r="A183" s="887" t="s">
        <v>529</v>
      </c>
      <c r="B183" s="889">
        <v>901729.99900000007</v>
      </c>
      <c r="C183" s="889">
        <v>3284534.034</v>
      </c>
      <c r="D183" s="889">
        <v>6313084.6410000008</v>
      </c>
      <c r="E183" s="889">
        <v>8659647.6559999995</v>
      </c>
      <c r="F183" s="889">
        <v>10124248.812000001</v>
      </c>
      <c r="G183" s="889">
        <v>11781077</v>
      </c>
      <c r="H183" s="889">
        <v>23934323.954999998</v>
      </c>
      <c r="I183" s="889">
        <v>29526323.817000002</v>
      </c>
      <c r="J183" s="889">
        <v>62644469.615000002</v>
      </c>
      <c r="K183" s="889">
        <v>49809553.053999998</v>
      </c>
      <c r="L183" s="889">
        <v>125207208.472</v>
      </c>
      <c r="M183" s="889">
        <f>SUM(B183:L183)</f>
        <v>332186201.05500001</v>
      </c>
    </row>
    <row r="184" spans="1:13" s="877" customFormat="1" ht="17.100000000000001" customHeight="1">
      <c r="A184" s="887" t="s">
        <v>533</v>
      </c>
      <c r="B184" s="889">
        <v>1715072.5409000004</v>
      </c>
      <c r="C184" s="889">
        <v>5774105.0640000002</v>
      </c>
      <c r="D184" s="889">
        <v>9554758.5500000007</v>
      </c>
      <c r="E184" s="889">
        <v>11979048.756999999</v>
      </c>
      <c r="F184" s="889">
        <v>13082680.984000001</v>
      </c>
      <c r="G184" s="889">
        <v>11919455.000999998</v>
      </c>
      <c r="H184" s="889">
        <v>22093640.875999998</v>
      </c>
      <c r="I184" s="889">
        <v>18019583.119000003</v>
      </c>
      <c r="J184" s="889">
        <v>34378769.965000004</v>
      </c>
      <c r="K184" s="889">
        <v>21883223.591000002</v>
      </c>
      <c r="L184" s="889">
        <v>84139238.042999983</v>
      </c>
      <c r="M184" s="889">
        <f>SUM(B184:L184)</f>
        <v>234539576.49089998</v>
      </c>
    </row>
    <row r="185" spans="1:13" s="877" customFormat="1" ht="17.100000000000001" customHeight="1">
      <c r="A185" s="887" t="s">
        <v>537</v>
      </c>
      <c r="B185" s="889">
        <v>14659040.8576</v>
      </c>
      <c r="C185" s="889">
        <v>51684989.237000003</v>
      </c>
      <c r="D185" s="889">
        <v>83484462.024000019</v>
      </c>
      <c r="E185" s="889">
        <v>110964509.11160001</v>
      </c>
      <c r="F185" s="889">
        <v>133337870.59799999</v>
      </c>
      <c r="G185" s="889">
        <v>140661439.77200001</v>
      </c>
      <c r="H185" s="889">
        <v>279899326.89099997</v>
      </c>
      <c r="I185" s="889">
        <v>275499421.17199999</v>
      </c>
      <c r="J185" s="889">
        <v>585647258.98000002</v>
      </c>
      <c r="K185" s="889">
        <v>454762964.023</v>
      </c>
      <c r="L185" s="889">
        <v>952813229</v>
      </c>
      <c r="M185" s="889">
        <f>SUM(B185:L185)</f>
        <v>3083414511.6661997</v>
      </c>
    </row>
    <row r="186" spans="1:13" s="877" customFormat="1" ht="17.100000000000001" customHeight="1">
      <c r="A186" s="887" t="s">
        <v>541</v>
      </c>
      <c r="B186" s="889">
        <v>17722657.224599998</v>
      </c>
      <c r="C186" s="889">
        <v>70544344.65200001</v>
      </c>
      <c r="D186" s="889">
        <v>116864913.63800001</v>
      </c>
      <c r="E186" s="889">
        <v>144334004.72299999</v>
      </c>
      <c r="F186" s="889">
        <v>162000822.31600001</v>
      </c>
      <c r="G186" s="889">
        <v>162303931.97600001</v>
      </c>
      <c r="H186" s="889">
        <v>322161833.42499995</v>
      </c>
      <c r="I186" s="889">
        <v>295387860.55000001</v>
      </c>
      <c r="J186" s="889">
        <v>575797559.46500003</v>
      </c>
      <c r="K186" s="889">
        <v>408249440.755</v>
      </c>
      <c r="L186" s="889">
        <v>1292949688.948</v>
      </c>
      <c r="M186" s="889">
        <f>SUM(B186:L186)</f>
        <v>3568317057.6726003</v>
      </c>
    </row>
    <row r="187" spans="1:13" s="877" customFormat="1" ht="17.100000000000001" customHeight="1">
      <c r="A187" s="887"/>
      <c r="B187" s="889"/>
      <c r="C187" s="889"/>
      <c r="D187" s="889"/>
      <c r="E187" s="889"/>
      <c r="F187" s="889"/>
      <c r="G187" s="889"/>
      <c r="H187" s="889"/>
      <c r="I187" s="889"/>
      <c r="J187" s="889"/>
      <c r="K187" s="889"/>
      <c r="L187" s="889"/>
      <c r="M187" s="889"/>
    </row>
    <row r="188" spans="1:13" s="877" customFormat="1" ht="17.100000000000001" customHeight="1">
      <c r="A188" s="887" t="s">
        <v>545</v>
      </c>
      <c r="B188" s="889">
        <v>678058.40299999993</v>
      </c>
      <c r="C188" s="889">
        <v>2030736.2720000001</v>
      </c>
      <c r="D188" s="889">
        <v>3325869.0610000002</v>
      </c>
      <c r="E188" s="889">
        <v>3980518.0869999998</v>
      </c>
      <c r="F188" s="889">
        <v>3712848.9210000001</v>
      </c>
      <c r="G188" s="889">
        <v>3890560.3360000006</v>
      </c>
      <c r="H188" s="889">
        <v>7459690.4649999999</v>
      </c>
      <c r="I188" s="889">
        <v>7202514.3640000001</v>
      </c>
      <c r="J188" s="889">
        <v>16536811.980999999</v>
      </c>
      <c r="K188" s="889">
        <v>11632658.663000001</v>
      </c>
      <c r="L188" s="889">
        <v>22994859.717</v>
      </c>
      <c r="M188" s="889">
        <f>SUM(B188:L188)</f>
        <v>83445126.270000011</v>
      </c>
    </row>
    <row r="189" spans="1:13" s="877" customFormat="1" ht="17.100000000000001" customHeight="1">
      <c r="A189" s="887" t="s">
        <v>549</v>
      </c>
      <c r="B189" s="889">
        <v>2930580.5690000001</v>
      </c>
      <c r="C189" s="889">
        <v>11641340.92</v>
      </c>
      <c r="D189" s="889">
        <v>20508179.402000003</v>
      </c>
      <c r="E189" s="889">
        <v>27312724.379000001</v>
      </c>
      <c r="F189" s="889">
        <v>31036611.854000006</v>
      </c>
      <c r="G189" s="889">
        <v>33462469.006999999</v>
      </c>
      <c r="H189" s="889">
        <v>61025150.681999996</v>
      </c>
      <c r="I189" s="889">
        <v>47097906.914000005</v>
      </c>
      <c r="J189" s="889">
        <v>76536014.743000001</v>
      </c>
      <c r="K189" s="889">
        <v>46803483.847000003</v>
      </c>
      <c r="L189" s="889">
        <v>69229856.319999993</v>
      </c>
      <c r="M189" s="889">
        <f>SUM(B189:L189)</f>
        <v>427584318.63700002</v>
      </c>
    </row>
    <row r="190" spans="1:13" s="877" customFormat="1" ht="17.100000000000001" customHeight="1">
      <c r="A190" s="887" t="s">
        <v>553</v>
      </c>
      <c r="B190" s="889">
        <v>1109312.4070000001</v>
      </c>
      <c r="C190" s="889">
        <v>2575188.6340000001</v>
      </c>
      <c r="D190" s="889">
        <v>3622374.9530000002</v>
      </c>
      <c r="E190" s="889">
        <v>4709669.4000000004</v>
      </c>
      <c r="F190" s="889">
        <v>5211144.8939999994</v>
      </c>
      <c r="G190" s="889">
        <v>6067974</v>
      </c>
      <c r="H190" s="889">
        <v>15155786.187999999</v>
      </c>
      <c r="I190" s="889">
        <v>15669734.997</v>
      </c>
      <c r="J190" s="889">
        <v>46506247.343999997</v>
      </c>
      <c r="K190" s="889">
        <v>50497615.990000002</v>
      </c>
      <c r="L190" s="889">
        <v>229073343.29299998</v>
      </c>
      <c r="M190" s="889">
        <f>SUM(B190:L190)</f>
        <v>380198392.10000002</v>
      </c>
    </row>
    <row r="191" spans="1:13" s="877" customFormat="1" ht="17.100000000000001" customHeight="1">
      <c r="A191" s="887" t="s">
        <v>557</v>
      </c>
      <c r="B191" s="889">
        <v>6931827.5573999994</v>
      </c>
      <c r="C191" s="889">
        <v>28052369.083999999</v>
      </c>
      <c r="D191" s="889">
        <v>50247899.07</v>
      </c>
      <c r="E191" s="889">
        <v>64876323.568000004</v>
      </c>
      <c r="F191" s="889">
        <v>76375051.941499993</v>
      </c>
      <c r="G191" s="889">
        <v>83970207.556999996</v>
      </c>
      <c r="H191" s="889">
        <v>160857583.986</v>
      </c>
      <c r="I191" s="889">
        <v>158167798.19</v>
      </c>
      <c r="J191" s="889">
        <v>319590871.12099999</v>
      </c>
      <c r="K191" s="889">
        <v>222651449.683</v>
      </c>
      <c r="L191" s="889">
        <v>354824431.745</v>
      </c>
      <c r="M191" s="889">
        <f>SUM(B191:L191)</f>
        <v>1526545813.5029001</v>
      </c>
    </row>
    <row r="192" spans="1:13" s="877" customFormat="1" ht="17.100000000000001" customHeight="1">
      <c r="A192" s="887" t="s">
        <v>561</v>
      </c>
      <c r="B192" s="889">
        <v>1373504.875</v>
      </c>
      <c r="C192" s="889">
        <v>4445617.0829999996</v>
      </c>
      <c r="D192" s="889">
        <v>5813969.8109999998</v>
      </c>
      <c r="E192" s="889">
        <v>6195731.0149999997</v>
      </c>
      <c r="F192" s="889">
        <v>7052287.8200000003</v>
      </c>
      <c r="G192" s="889">
        <v>8123473.3399999999</v>
      </c>
      <c r="H192" s="889">
        <v>16621348.851</v>
      </c>
      <c r="I192" s="889">
        <v>15086951.698000001</v>
      </c>
      <c r="J192" s="889">
        <v>35528412.704999998</v>
      </c>
      <c r="K192" s="889">
        <v>30153548.913000003</v>
      </c>
      <c r="L192" s="889">
        <v>68328864.32099998</v>
      </c>
      <c r="M192" s="889">
        <f>SUM(B192:L192)</f>
        <v>198723710.43199998</v>
      </c>
    </row>
    <row r="193" spans="1:13" s="877" customFormat="1" ht="17.100000000000001" customHeight="1">
      <c r="A193" s="887"/>
      <c r="B193" s="889"/>
      <c r="C193" s="889"/>
      <c r="D193" s="889"/>
      <c r="E193" s="889"/>
      <c r="F193" s="889"/>
      <c r="G193" s="889"/>
      <c r="H193" s="889"/>
      <c r="I193" s="889"/>
      <c r="J193" s="889"/>
      <c r="K193" s="889"/>
      <c r="L193" s="889"/>
      <c r="M193" s="889"/>
    </row>
    <row r="194" spans="1:13" s="877" customFormat="1" ht="17.100000000000001" customHeight="1">
      <c r="A194" s="887" t="s">
        <v>565</v>
      </c>
      <c r="B194" s="889">
        <v>18513959.541699998</v>
      </c>
      <c r="C194" s="889">
        <v>67303507.143999994</v>
      </c>
      <c r="D194" s="889">
        <v>108574616.73800001</v>
      </c>
      <c r="E194" s="889">
        <v>136938207.40000001</v>
      </c>
      <c r="F194" s="889">
        <v>163678517.588</v>
      </c>
      <c r="G194" s="889">
        <v>171842552.866</v>
      </c>
      <c r="H194" s="889">
        <v>340578523.31800002</v>
      </c>
      <c r="I194" s="889">
        <v>299552474.61800003</v>
      </c>
      <c r="J194" s="889">
        <v>522660402.046</v>
      </c>
      <c r="K194" s="889">
        <v>375771716.95700002</v>
      </c>
      <c r="L194" s="889">
        <v>2678899952.3895998</v>
      </c>
      <c r="M194" s="889">
        <f t="shared" ref="M194:M203" si="5">SUM(B194:L194)</f>
        <v>4884314430.6063004</v>
      </c>
    </row>
    <row r="195" spans="1:13" s="877" customFormat="1" ht="17.100000000000001" customHeight="1">
      <c r="A195" s="887" t="s">
        <v>37</v>
      </c>
      <c r="B195" s="889">
        <v>9410631.7011999991</v>
      </c>
      <c r="C195" s="889">
        <v>31501834.469999999</v>
      </c>
      <c r="D195" s="889">
        <v>55253576.072999999</v>
      </c>
      <c r="E195" s="889">
        <v>75224792.671999991</v>
      </c>
      <c r="F195" s="889">
        <v>88510373.52700001</v>
      </c>
      <c r="G195" s="889">
        <v>96658055.974999994</v>
      </c>
      <c r="H195" s="889">
        <v>176146320.85299999</v>
      </c>
      <c r="I195" s="889">
        <v>149818756.442</v>
      </c>
      <c r="J195" s="889">
        <v>287963904.48100007</v>
      </c>
      <c r="K195" s="889">
        <v>185876868.63</v>
      </c>
      <c r="L195" s="889">
        <v>619379091.69799995</v>
      </c>
      <c r="M195" s="889">
        <f t="shared" si="5"/>
        <v>1775744206.5222001</v>
      </c>
    </row>
    <row r="196" spans="1:13" s="877" customFormat="1" ht="17.100000000000001" customHeight="1">
      <c r="A196" s="887" t="s">
        <v>573</v>
      </c>
      <c r="B196" s="889">
        <v>2006019.0920000002</v>
      </c>
      <c r="C196" s="889">
        <v>7113944.8570000008</v>
      </c>
      <c r="D196" s="889">
        <v>11354732.530999999</v>
      </c>
      <c r="E196" s="889">
        <v>16007393.723000001</v>
      </c>
      <c r="F196" s="889">
        <v>19799576.788000003</v>
      </c>
      <c r="G196" s="889">
        <v>20639531.653999999</v>
      </c>
      <c r="H196" s="889">
        <v>47521759.091999993</v>
      </c>
      <c r="I196" s="889">
        <v>37798583.012999997</v>
      </c>
      <c r="J196" s="889">
        <v>90894634.082000002</v>
      </c>
      <c r="K196" s="889">
        <v>80380800.429000005</v>
      </c>
      <c r="L196" s="889">
        <v>226568667.66799998</v>
      </c>
      <c r="M196" s="889">
        <f t="shared" si="5"/>
        <v>560085642.92900002</v>
      </c>
    </row>
    <row r="197" spans="1:13" s="877" customFormat="1" ht="17.100000000000001" customHeight="1">
      <c r="A197" s="887" t="s">
        <v>577</v>
      </c>
      <c r="B197" s="889">
        <v>1976199.8940000001</v>
      </c>
      <c r="C197" s="889">
        <v>6900555.449</v>
      </c>
      <c r="D197" s="889">
        <v>11847513.539999999</v>
      </c>
      <c r="E197" s="889">
        <v>16203187.094000001</v>
      </c>
      <c r="F197" s="889">
        <v>17459959.895999998</v>
      </c>
      <c r="G197" s="889">
        <v>21397129.550999999</v>
      </c>
      <c r="H197" s="889">
        <v>47965874.225999996</v>
      </c>
      <c r="I197" s="889">
        <v>43587119.254000001</v>
      </c>
      <c r="J197" s="889">
        <v>88868309.928000003</v>
      </c>
      <c r="K197" s="889">
        <v>64515090.280000001</v>
      </c>
      <c r="L197" s="889">
        <v>128163774.30399999</v>
      </c>
      <c r="M197" s="889">
        <f t="shared" si="5"/>
        <v>448884713.41600001</v>
      </c>
    </row>
    <row r="198" spans="1:13" s="877" customFormat="1" ht="17.100000000000001" customHeight="1">
      <c r="A198" s="887" t="s">
        <v>581</v>
      </c>
      <c r="B198" s="889">
        <v>5848104.5996000003</v>
      </c>
      <c r="C198" s="889">
        <v>21144822.141999997</v>
      </c>
      <c r="D198" s="889">
        <v>34117810.009000003</v>
      </c>
      <c r="E198" s="889">
        <v>42547417.737000003</v>
      </c>
      <c r="F198" s="889">
        <v>52280021.861199997</v>
      </c>
      <c r="G198" s="889">
        <v>56428385.886000007</v>
      </c>
      <c r="H198" s="889">
        <v>114570610.39200002</v>
      </c>
      <c r="I198" s="889">
        <v>118167989.52500001</v>
      </c>
      <c r="J198" s="889">
        <v>289351341.26999998</v>
      </c>
      <c r="K198" s="889">
        <v>282239326.83600003</v>
      </c>
      <c r="L198" s="889">
        <v>846760473.71500003</v>
      </c>
      <c r="M198" s="889">
        <f t="shared" si="5"/>
        <v>1863456303.9728003</v>
      </c>
    </row>
    <row r="199" spans="1:13" s="877" customFormat="1" ht="17.100000000000001" customHeight="1">
      <c r="A199" s="887"/>
      <c r="B199" s="889"/>
      <c r="C199" s="889"/>
      <c r="D199" s="889"/>
      <c r="E199" s="889"/>
      <c r="F199" s="889"/>
      <c r="G199" s="889"/>
      <c r="H199" s="889"/>
      <c r="I199" s="889"/>
      <c r="J199" s="889"/>
      <c r="K199" s="889"/>
      <c r="L199" s="889"/>
      <c r="M199" s="889"/>
    </row>
    <row r="200" spans="1:13" s="877" customFormat="1" ht="17.100000000000001" customHeight="1">
      <c r="A200" s="887" t="s">
        <v>38</v>
      </c>
      <c r="B200" s="889">
        <v>35967584.7667</v>
      </c>
      <c r="C200" s="889">
        <v>110062684.65900001</v>
      </c>
      <c r="D200" s="889">
        <v>172006158.5596</v>
      </c>
      <c r="E200" s="889">
        <v>225482764.17499998</v>
      </c>
      <c r="F200" s="889">
        <v>269678501.523</v>
      </c>
      <c r="G200" s="889">
        <v>297835857.255</v>
      </c>
      <c r="H200" s="889">
        <v>671271208.33500004</v>
      </c>
      <c r="I200" s="889">
        <v>681964761.70799994</v>
      </c>
      <c r="J200" s="889">
        <v>1580978997.948</v>
      </c>
      <c r="K200" s="889">
        <v>1380245445.7610002</v>
      </c>
      <c r="L200" s="889">
        <v>5483337043.4570007</v>
      </c>
      <c r="M200" s="889">
        <f t="shared" si="5"/>
        <v>10908831008.147301</v>
      </c>
    </row>
    <row r="201" spans="1:13" s="877" customFormat="1" ht="17.100000000000001" customHeight="1">
      <c r="A201" s="887" t="s">
        <v>586</v>
      </c>
      <c r="B201" s="889">
        <v>1743099.423</v>
      </c>
      <c r="C201" s="889">
        <v>6202709.5199999996</v>
      </c>
      <c r="D201" s="889">
        <v>10819350.66</v>
      </c>
      <c r="E201" s="889">
        <v>14249935.802999999</v>
      </c>
      <c r="F201" s="889">
        <v>16257302.226999998</v>
      </c>
      <c r="G201" s="889">
        <v>19775032.544</v>
      </c>
      <c r="H201" s="889">
        <v>38769993.482000001</v>
      </c>
      <c r="I201" s="889">
        <v>38512175.594000004</v>
      </c>
      <c r="J201" s="889">
        <v>75208045</v>
      </c>
      <c r="K201" s="889">
        <v>50672794.038000003</v>
      </c>
      <c r="L201" s="889">
        <v>86961483.592999995</v>
      </c>
      <c r="M201" s="889">
        <f t="shared" si="5"/>
        <v>359171921.884</v>
      </c>
    </row>
    <row r="202" spans="1:13" s="877" customFormat="1" ht="17.100000000000001" customHeight="1">
      <c r="A202" s="887" t="s">
        <v>589</v>
      </c>
      <c r="B202" s="889">
        <v>2421858.5260000001</v>
      </c>
      <c r="C202" s="889">
        <v>4496369.6459999997</v>
      </c>
      <c r="D202" s="889">
        <v>6210549.2409999995</v>
      </c>
      <c r="E202" s="889">
        <v>8241433.5054000001</v>
      </c>
      <c r="F202" s="889">
        <v>9458844.5370000005</v>
      </c>
      <c r="G202" s="889">
        <v>8160776.165</v>
      </c>
      <c r="H202" s="889">
        <v>17759054.737</v>
      </c>
      <c r="I202" s="889">
        <v>17489719.147</v>
      </c>
      <c r="J202" s="889">
        <v>38561963.713</v>
      </c>
      <c r="K202" s="889">
        <v>31519025.827</v>
      </c>
      <c r="L202" s="889">
        <v>158546486.60299999</v>
      </c>
      <c r="M202" s="889">
        <f t="shared" si="5"/>
        <v>302866081.64740002</v>
      </c>
    </row>
    <row r="203" spans="1:13" s="877" customFormat="1" ht="17.100000000000001" customHeight="1">
      <c r="A203" s="881" t="s">
        <v>592</v>
      </c>
      <c r="B203" s="895">
        <v>2676817.3544999999</v>
      </c>
      <c r="C203" s="895">
        <v>8073062.6750000007</v>
      </c>
      <c r="D203" s="895">
        <v>13848175.958000001</v>
      </c>
      <c r="E203" s="895">
        <v>17563909.841000002</v>
      </c>
      <c r="F203" s="895">
        <v>21534745.956</v>
      </c>
      <c r="G203" s="895">
        <v>23626742.128000002</v>
      </c>
      <c r="H203" s="895">
        <v>46443536.278999999</v>
      </c>
      <c r="I203" s="895">
        <v>43425315.149000004</v>
      </c>
      <c r="J203" s="895">
        <v>85725392.644000009</v>
      </c>
      <c r="K203" s="895">
        <v>57991950.620000005</v>
      </c>
      <c r="L203" s="895">
        <v>276823135.45700002</v>
      </c>
      <c r="M203" s="889">
        <f t="shared" si="5"/>
        <v>597732784.06150007</v>
      </c>
    </row>
    <row r="204" spans="1:13" ht="17.100000000000001" customHeight="1">
      <c r="A204" s="881"/>
      <c r="B204" s="902"/>
      <c r="C204" s="902"/>
      <c r="D204" s="902"/>
      <c r="E204" s="902"/>
      <c r="F204" s="902"/>
      <c r="G204" s="902"/>
      <c r="H204" s="902"/>
      <c r="I204" s="901"/>
      <c r="J204" s="901"/>
      <c r="K204" s="901"/>
      <c r="L204" s="901"/>
      <c r="M204" s="901"/>
    </row>
    <row r="205" spans="1:13" s="898" customFormat="1" ht="18" customHeight="1">
      <c r="A205" s="896" t="s">
        <v>39</v>
      </c>
      <c r="B205" s="897">
        <f>SUM(B182:B203)+B177</f>
        <v>206940257.86099994</v>
      </c>
      <c r="C205" s="897">
        <f t="shared" ref="C205:M205" si="6">SUM(C182:C203)+C177</f>
        <v>702287742.40270007</v>
      </c>
      <c r="D205" s="897">
        <f t="shared" si="6"/>
        <v>1139488637.3643</v>
      </c>
      <c r="E205" s="897">
        <f t="shared" si="6"/>
        <v>1480338121.9231997</v>
      </c>
      <c r="F205" s="897">
        <f t="shared" si="6"/>
        <v>1739376678.6068997</v>
      </c>
      <c r="G205" s="897">
        <f t="shared" si="6"/>
        <v>1864856359.7649999</v>
      </c>
      <c r="H205" s="897">
        <f t="shared" si="6"/>
        <v>3857039262.2242994</v>
      </c>
      <c r="I205" s="897">
        <f t="shared" si="6"/>
        <v>3736533240.0791993</v>
      </c>
      <c r="J205" s="897">
        <f t="shared" si="6"/>
        <v>8124533616.4004393</v>
      </c>
      <c r="K205" s="897">
        <f t="shared" si="6"/>
        <v>6632442796.9902</v>
      </c>
      <c r="L205" s="897">
        <f t="shared" si="6"/>
        <v>25763327829.129601</v>
      </c>
      <c r="M205" s="897">
        <f t="shared" si="6"/>
        <v>55247164542.746857</v>
      </c>
    </row>
    <row r="206" spans="1:13" s="898" customFormat="1" ht="18" customHeight="1">
      <c r="A206" s="896" t="s">
        <v>34</v>
      </c>
      <c r="B206" s="897">
        <f>B144</f>
        <v>416737109.57165003</v>
      </c>
      <c r="C206" s="897">
        <f t="shared" ref="C206:M206" si="7">C144</f>
        <v>1259827348.4177001</v>
      </c>
      <c r="D206" s="897">
        <f t="shared" si="7"/>
        <v>2001877468.2017999</v>
      </c>
      <c r="E206" s="897">
        <f t="shared" si="7"/>
        <v>2660404935.7758999</v>
      </c>
      <c r="F206" s="897">
        <f t="shared" si="7"/>
        <v>3195048219.8459001</v>
      </c>
      <c r="G206" s="897">
        <f t="shared" si="7"/>
        <v>3554034147.5265999</v>
      </c>
      <c r="H206" s="897">
        <f t="shared" si="7"/>
        <v>7850985759.0897999</v>
      </c>
      <c r="I206" s="897">
        <f t="shared" si="7"/>
        <v>8147187182.3539991</v>
      </c>
      <c r="J206" s="897">
        <f t="shared" si="7"/>
        <v>20469162242.813499</v>
      </c>
      <c r="K206" s="897">
        <f t="shared" si="7"/>
        <v>19574472561.171997</v>
      </c>
      <c r="L206" s="897">
        <f t="shared" si="7"/>
        <v>102203429550.7702</v>
      </c>
      <c r="M206" s="897">
        <f t="shared" si="7"/>
        <v>171333166525.53906</v>
      </c>
    </row>
    <row r="207" spans="1:13" s="877" customFormat="1" ht="18" customHeight="1">
      <c r="A207" s="896" t="s">
        <v>828</v>
      </c>
      <c r="B207" s="903">
        <v>57020732.02775</v>
      </c>
      <c r="C207" s="903">
        <v>116107839.18810001</v>
      </c>
      <c r="D207" s="903">
        <v>137751321.53279999</v>
      </c>
      <c r="E207" s="903">
        <v>147289199.5986</v>
      </c>
      <c r="F207" s="903">
        <v>160702761.9964</v>
      </c>
      <c r="G207" s="903">
        <v>160573127.27320001</v>
      </c>
      <c r="H207" s="903">
        <v>308459463.99890006</v>
      </c>
      <c r="I207" s="903">
        <v>270612977.57200003</v>
      </c>
      <c r="J207" s="903">
        <v>546753178.03349996</v>
      </c>
      <c r="K207" s="903">
        <v>416153171.85400003</v>
      </c>
      <c r="L207" s="903">
        <v>3140512968.6780005</v>
      </c>
      <c r="M207" s="903">
        <f>SUM(B207:L207)</f>
        <v>5461936741.7532501</v>
      </c>
    </row>
    <row r="208" spans="1:13" s="898" customFormat="1" ht="17.100000000000001" customHeight="1">
      <c r="A208" s="896"/>
      <c r="B208" s="897"/>
      <c r="C208" s="897"/>
      <c r="D208" s="897"/>
      <c r="E208" s="897"/>
      <c r="F208" s="897"/>
      <c r="G208" s="897"/>
      <c r="H208" s="897"/>
      <c r="I208" s="897"/>
      <c r="J208" s="897"/>
      <c r="K208" s="897"/>
      <c r="L208" s="897"/>
      <c r="M208" s="897"/>
    </row>
    <row r="209" spans="1:13" s="898" customFormat="1" ht="18" customHeight="1">
      <c r="A209" s="896" t="s">
        <v>40</v>
      </c>
      <c r="B209" s="904">
        <f>SUM(B205:B207)</f>
        <v>680698099.46039999</v>
      </c>
      <c r="C209" s="904">
        <f t="shared" ref="C209:L209" si="8">SUM(C205:C207)</f>
        <v>2078222930.0085003</v>
      </c>
      <c r="D209" s="904">
        <f t="shared" si="8"/>
        <v>3279117427.0989003</v>
      </c>
      <c r="E209" s="904">
        <f t="shared" si="8"/>
        <v>4288032257.2976995</v>
      </c>
      <c r="F209" s="904">
        <f t="shared" si="8"/>
        <v>5095127660.4491997</v>
      </c>
      <c r="G209" s="904">
        <f t="shared" si="8"/>
        <v>5579463634.5647993</v>
      </c>
      <c r="H209" s="904">
        <f t="shared" si="8"/>
        <v>12016484485.312998</v>
      </c>
      <c r="I209" s="904">
        <f t="shared" si="8"/>
        <v>12154333400.005199</v>
      </c>
      <c r="J209" s="904">
        <f t="shared" si="8"/>
        <v>29140449037.24744</v>
      </c>
      <c r="K209" s="904">
        <f t="shared" si="8"/>
        <v>26623068530.016197</v>
      </c>
      <c r="L209" s="904">
        <f t="shared" si="8"/>
        <v>131107270348.5778</v>
      </c>
      <c r="M209" s="904">
        <f>SUM(M205:M207)</f>
        <v>232042267810.03918</v>
      </c>
    </row>
    <row r="211" spans="1:13" ht="17.100000000000001" customHeight="1">
      <c r="A211" s="877" t="s">
        <v>27</v>
      </c>
    </row>
    <row r="212" spans="1:13" ht="17.100000000000001" customHeight="1">
      <c r="A212" s="398" t="s">
        <v>829</v>
      </c>
    </row>
  </sheetData>
  <printOptions horizontalCentered="1"/>
  <pageMargins left="0.25" right="0.25" top="0.5" bottom="1" header="0.5" footer="0.5"/>
  <pageSetup scale="61" firstPageNumber="7" fitToHeight="5" orientation="landscape" useFirstPageNumber="1" r:id="rId1"/>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4.4</vt:lpstr>
      <vt:lpstr>Table 5.1</vt:lpstr>
      <vt:lpstr>Table 5.2</vt:lpstr>
      <vt:lpstr>Tables 5.3-5.4</vt:lpstr>
      <vt:lpstr>Table 5.5</vt:lpstr>
      <vt:lpstr>Table 5.6</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4.4'!Print_Area</vt:lpstr>
      <vt:lpstr>'Table 5.5'!Print_Area</vt:lpstr>
      <vt:lpstr>'Table 5.6'!Print_Area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Adam Silverman</dc:creator>
  <cp:lastModifiedBy>ogp08764</cp:lastModifiedBy>
  <cp:lastPrinted>2013-01-07T22:06:44Z</cp:lastPrinted>
  <dcterms:created xsi:type="dcterms:W3CDTF">2008-10-20T18:07:18Z</dcterms:created>
  <dcterms:modified xsi:type="dcterms:W3CDTF">2013-02-28T14:52:38Z</dcterms:modified>
</cp:coreProperties>
</file>